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c46938\Dropbox\PRR\Execucao\M-Cursos\Cursos_2022\Cursos Realizados\22.01_20224015_Aspectos Éticos e Sociais em Genética Clinica Laboratorial\"/>
    </mc:Choice>
  </mc:AlternateContent>
  <xr:revisionPtr revIDLastSave="0" documentId="13_ncr:1_{A1621CDB-2BCE-408E-9005-4DC7CB12C52E}" xr6:coauthVersionLast="47" xr6:coauthVersionMax="47" xr10:uidLastSave="{00000000-0000-0000-0000-000000000000}"/>
  <bookViews>
    <workbookView xWindow="-110" yWindow="-110" windowWidth="19420" windowHeight="10300" firstSheet="1" activeTab="1" xr2:uid="{1B7B8FED-32A9-4E80-BD3C-4C2769D7B45F}"/>
  </bookViews>
  <sheets>
    <sheet name="Critérios" sheetId="10" state="hidden" r:id="rId1"/>
    <sheet name="Preço" sheetId="13" r:id="rId2"/>
  </sheets>
  <definedNames>
    <definedName name="alunos">#REF!</definedName>
    <definedName name="ECTS">#REF!</definedName>
    <definedName name="horas">#REF!</definedName>
    <definedName name="M">Preço!$C$90</definedName>
    <definedName name="MM">Preço!$C$101</definedName>
    <definedName name="_xlnm.Print_Titles" localSheetId="1">Preço!$1:$7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3" l="1"/>
  <c r="D13" i="13"/>
  <c r="E95" i="13"/>
  <c r="E94" i="13"/>
  <c r="E93" i="13"/>
  <c r="W5" i="10" l="1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33" i="13"/>
  <c r="J133" i="13"/>
  <c r="I133" i="13"/>
  <c r="H133" i="13"/>
  <c r="F133" i="13"/>
  <c r="E115" i="13" l="1"/>
  <c r="F115" i="13"/>
  <c r="B144" i="13" l="1"/>
  <c r="B143" i="13"/>
  <c r="B142" i="13"/>
  <c r="B141" i="13"/>
  <c r="B140" i="13"/>
  <c r="B139" i="13"/>
  <c r="B138" i="13"/>
  <c r="B137" i="13"/>
  <c r="B136" i="13"/>
  <c r="B135" i="13"/>
  <c r="B134" i="13"/>
  <c r="B145" i="13"/>
  <c r="B129" i="13"/>
  <c r="B128" i="13"/>
  <c r="B127" i="13"/>
  <c r="B126" i="13"/>
  <c r="B125" i="13"/>
  <c r="B124" i="13"/>
  <c r="B123" i="13"/>
  <c r="B122" i="13"/>
  <c r="B121" i="13"/>
  <c r="B120" i="13"/>
  <c r="B119" i="13"/>
  <c r="B130" i="13"/>
  <c r="E22" i="10"/>
  <c r="E221" i="10"/>
  <c r="E212" i="10"/>
  <c r="E213" i="10"/>
  <c r="E214" i="10"/>
  <c r="E215" i="10"/>
  <c r="E216" i="10"/>
  <c r="E217" i="10"/>
  <c r="E218" i="10"/>
  <c r="E219" i="10"/>
  <c r="E220" i="10"/>
  <c r="E204" i="10"/>
  <c r="E205" i="10"/>
  <c r="E206" i="10"/>
  <c r="E207" i="10"/>
  <c r="E208" i="10"/>
  <c r="E209" i="10"/>
  <c r="E210" i="10"/>
  <c r="E211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G38" i="13"/>
  <c r="G39" i="13"/>
  <c r="G40" i="13"/>
  <c r="G41" i="13"/>
  <c r="G42" i="13"/>
  <c r="G43" i="13"/>
  <c r="G44" i="13"/>
  <c r="G45" i="13"/>
  <c r="G46" i="13"/>
  <c r="H47" i="13"/>
  <c r="G37" i="13"/>
  <c r="I37" i="13" s="1"/>
  <c r="E27" i="10" l="1"/>
  <c r="G150" i="13" l="1"/>
  <c r="B179" i="13" l="1"/>
  <c r="I19" i="13"/>
  <c r="B107" i="13"/>
  <c r="B106" i="13"/>
  <c r="B105" i="13"/>
  <c r="B104" i="13"/>
  <c r="B103" i="13"/>
  <c r="I28" i="13"/>
  <c r="B114" i="13"/>
  <c r="B113" i="13"/>
  <c r="B112" i="13"/>
  <c r="B111" i="13"/>
  <c r="B110" i="13"/>
  <c r="B109" i="13"/>
  <c r="B108" i="13"/>
  <c r="B183" i="13"/>
  <c r="B182" i="13"/>
  <c r="B181" i="13"/>
  <c r="B180" i="13"/>
  <c r="B178" i="13"/>
  <c r="B177" i="13"/>
  <c r="I80" i="13"/>
  <c r="I83" i="13" s="1"/>
  <c r="I67" i="13"/>
  <c r="I74" i="13" s="1"/>
  <c r="D48" i="13"/>
  <c r="C48" i="13"/>
  <c r="I46" i="13"/>
  <c r="I45" i="13"/>
  <c r="I44" i="13"/>
  <c r="I43" i="13"/>
  <c r="I42" i="13"/>
  <c r="I41" i="13"/>
  <c r="I40" i="13"/>
  <c r="I39" i="13"/>
  <c r="I38" i="13"/>
  <c r="L49" i="10"/>
  <c r="K38" i="10"/>
  <c r="L38" i="10" s="1"/>
  <c r="L37" i="10"/>
  <c r="H56" i="10"/>
  <c r="H55" i="10"/>
  <c r="H54" i="10"/>
  <c r="H53" i="10"/>
  <c r="H52" i="10"/>
  <c r="H33" i="10"/>
  <c r="I35" i="10" s="1"/>
  <c r="L20" i="10"/>
  <c r="L21" i="10"/>
  <c r="L22" i="10"/>
  <c r="L23" i="10"/>
  <c r="L24" i="10"/>
  <c r="L25" i="10"/>
  <c r="F16" i="10"/>
  <c r="I84" i="13" l="1"/>
  <c r="I75" i="13"/>
  <c r="I20" i="13"/>
  <c r="I30" i="13" s="1"/>
  <c r="E20" i="10"/>
  <c r="E21" i="10"/>
  <c r="E34" i="10"/>
  <c r="B185" i="13"/>
  <c r="I31" i="13"/>
  <c r="E23" i="10"/>
  <c r="I47" i="13"/>
  <c r="G153" i="13"/>
  <c r="G157" i="13"/>
  <c r="B184" i="13"/>
  <c r="G151" i="13"/>
  <c r="G155" i="13"/>
  <c r="G159" i="13"/>
  <c r="G154" i="13"/>
  <c r="G158" i="13"/>
  <c r="G152" i="13"/>
  <c r="G156" i="13"/>
  <c r="E63" i="10"/>
  <c r="E53" i="10"/>
  <c r="E74" i="10"/>
  <c r="E67" i="10"/>
  <c r="E57" i="10"/>
  <c r="E56" i="10"/>
  <c r="E75" i="10"/>
  <c r="E65" i="10"/>
  <c r="E55" i="10"/>
  <c r="E73" i="10"/>
  <c r="E64" i="10"/>
  <c r="E54" i="10"/>
  <c r="E72" i="10"/>
  <c r="E62" i="10"/>
  <c r="E52" i="10"/>
  <c r="E61" i="10"/>
  <c r="E77" i="10"/>
  <c r="K39" i="10"/>
  <c r="K40" i="10" s="1"/>
  <c r="L40" i="10" s="1"/>
  <c r="E60" i="10"/>
  <c r="E76" i="10"/>
  <c r="E81" i="10"/>
  <c r="E80" i="10"/>
  <c r="E79" i="10"/>
  <c r="E49" i="10"/>
  <c r="E59" i="10"/>
  <c r="E51" i="10"/>
  <c r="E71" i="10"/>
  <c r="E78" i="10"/>
  <c r="E66" i="10"/>
  <c r="E58" i="10"/>
  <c r="E50" i="10"/>
  <c r="E70" i="10"/>
  <c r="E69" i="10"/>
  <c r="E68" i="10"/>
  <c r="E35" i="10"/>
  <c r="E47" i="10"/>
  <c r="E30" i="10"/>
  <c r="I34" i="10"/>
  <c r="E45" i="10"/>
  <c r="E28" i="10"/>
  <c r="E44" i="10"/>
  <c r="E43" i="10"/>
  <c r="E25" i="10"/>
  <c r="E26" i="10"/>
  <c r="E39" i="10"/>
  <c r="E19" i="10"/>
  <c r="E37" i="10"/>
  <c r="E36" i="10"/>
  <c r="E46" i="10"/>
  <c r="E38" i="10"/>
  <c r="E29" i="10"/>
  <c r="E42" i="10"/>
  <c r="E33" i="10"/>
  <c r="E24" i="10"/>
  <c r="E41" i="10"/>
  <c r="E32" i="10"/>
  <c r="E18" i="10"/>
  <c r="E40" i="10"/>
  <c r="E31" i="10"/>
  <c r="C101" i="13" l="1"/>
  <c r="C90" i="13"/>
  <c r="I86" i="13"/>
  <c r="I49" i="13"/>
  <c r="E30" i="13"/>
  <c r="K19" i="10"/>
  <c r="L19" i="10" s="1"/>
  <c r="L26" i="10" s="1"/>
  <c r="L28" i="10" s="1"/>
  <c r="K41" i="10"/>
  <c r="K42" i="10" s="1"/>
  <c r="L42" i="10" s="1"/>
  <c r="L39" i="10"/>
  <c r="F93" i="13" l="1"/>
  <c r="H93" i="13" s="1"/>
  <c r="C91" i="13"/>
  <c r="E91" i="13" s="1"/>
  <c r="I111" i="13"/>
  <c r="H142" i="13" s="1"/>
  <c r="I164" i="13"/>
  <c r="I163" i="13"/>
  <c r="I162" i="13"/>
  <c r="I106" i="13"/>
  <c r="H137" i="13" s="1"/>
  <c r="I113" i="13"/>
  <c r="H144" i="13" s="1"/>
  <c r="I104" i="13"/>
  <c r="H135" i="13" s="1"/>
  <c r="I114" i="13"/>
  <c r="H145" i="13" s="1"/>
  <c r="H102" i="13"/>
  <c r="G133" i="13" s="1"/>
  <c r="J105" i="13"/>
  <c r="I136" i="13" s="1"/>
  <c r="J108" i="13"/>
  <c r="I139" i="13" s="1"/>
  <c r="K110" i="13"/>
  <c r="J141" i="13" s="1"/>
  <c r="K112" i="13"/>
  <c r="J143" i="13" s="1"/>
  <c r="H111" i="13"/>
  <c r="G142" i="13" s="1"/>
  <c r="J113" i="13"/>
  <c r="I144" i="13" s="1"/>
  <c r="J109" i="13"/>
  <c r="I140" i="13" s="1"/>
  <c r="K105" i="13"/>
  <c r="J136" i="13" s="1"/>
  <c r="K113" i="13"/>
  <c r="J144" i="13" s="1"/>
  <c r="J106" i="13"/>
  <c r="I137" i="13" s="1"/>
  <c r="J104" i="13"/>
  <c r="I135" i="13" s="1"/>
  <c r="K114" i="13"/>
  <c r="J145" i="13" s="1"/>
  <c r="K107" i="13"/>
  <c r="J138" i="13" s="1"/>
  <c r="H112" i="13"/>
  <c r="G143" i="13" s="1"/>
  <c r="J114" i="13"/>
  <c r="I145" i="13" s="1"/>
  <c r="J112" i="13"/>
  <c r="I143" i="13" s="1"/>
  <c r="K103" i="13"/>
  <c r="J134" i="13" s="1"/>
  <c r="J107" i="13"/>
  <c r="I138" i="13" s="1"/>
  <c r="K111" i="13"/>
  <c r="J142" i="13" s="1"/>
  <c r="G104" i="13"/>
  <c r="F135" i="13" s="1"/>
  <c r="H113" i="13"/>
  <c r="G144" i="13" s="1"/>
  <c r="J103" i="13"/>
  <c r="I134" i="13" s="1"/>
  <c r="G103" i="13"/>
  <c r="F134" i="13" s="1"/>
  <c r="K106" i="13"/>
  <c r="J137" i="13" s="1"/>
  <c r="H114" i="13"/>
  <c r="G145" i="13" s="1"/>
  <c r="J110" i="13"/>
  <c r="I141" i="13" s="1"/>
  <c r="K108" i="13"/>
  <c r="J139" i="13" s="1"/>
  <c r="H110" i="13"/>
  <c r="G141" i="13" s="1"/>
  <c r="J111" i="13"/>
  <c r="I142" i="13" s="1"/>
  <c r="K109" i="13"/>
  <c r="J140" i="13" s="1"/>
  <c r="K104" i="13"/>
  <c r="J135" i="13" s="1"/>
  <c r="I103" i="13"/>
  <c r="H134" i="13" s="1"/>
  <c r="I107" i="13"/>
  <c r="H138" i="13" s="1"/>
  <c r="I105" i="13"/>
  <c r="H136" i="13" s="1"/>
  <c r="I112" i="13"/>
  <c r="H143" i="13" s="1"/>
  <c r="I110" i="13"/>
  <c r="H141" i="13" s="1"/>
  <c r="I108" i="13"/>
  <c r="H139" i="13" s="1"/>
  <c r="I109" i="13"/>
  <c r="H140" i="13" s="1"/>
  <c r="G105" i="13"/>
  <c r="F136" i="13" s="1"/>
  <c r="L102" i="13"/>
  <c r="H163" i="13"/>
  <c r="H162" i="13"/>
  <c r="H164" i="13"/>
  <c r="G113" i="13"/>
  <c r="F144" i="13" s="1"/>
  <c r="G112" i="13"/>
  <c r="F143" i="13" s="1"/>
  <c r="G114" i="13"/>
  <c r="F145" i="13" s="1"/>
  <c r="G111" i="13"/>
  <c r="F142" i="13" s="1"/>
  <c r="G110" i="13"/>
  <c r="F141" i="13" s="1"/>
  <c r="G91" i="13"/>
  <c r="G92" i="13"/>
  <c r="G109" i="13"/>
  <c r="F140" i="13" s="1"/>
  <c r="G108" i="13"/>
  <c r="F139" i="13" s="1"/>
  <c r="G106" i="13"/>
  <c r="F137" i="13" s="1"/>
  <c r="G107" i="13"/>
  <c r="F138" i="13" s="1"/>
  <c r="I32" i="13"/>
  <c r="C92" i="13" s="1"/>
  <c r="E92" i="13" s="1"/>
  <c r="G94" i="13"/>
  <c r="F94" i="13"/>
  <c r="H94" i="13" s="1"/>
  <c r="G95" i="13"/>
  <c r="G93" i="13"/>
  <c r="F95" i="13"/>
  <c r="H95" i="13" s="1"/>
  <c r="L41" i="10"/>
  <c r="L44" i="10" s="1"/>
  <c r="L46" i="10" s="1"/>
  <c r="L50" i="10" s="1"/>
  <c r="E98" i="13" l="1"/>
  <c r="F98" i="13"/>
  <c r="I93" i="13"/>
  <c r="H91" i="13"/>
  <c r="I94" i="13"/>
  <c r="I95" i="13"/>
  <c r="K145" i="13"/>
  <c r="L145" i="13" s="1"/>
  <c r="K144" i="13"/>
  <c r="L144" i="13" s="1"/>
  <c r="K142" i="13"/>
  <c r="L142" i="13" s="1"/>
  <c r="K143" i="13"/>
  <c r="L143" i="13" s="1"/>
  <c r="H106" i="13"/>
  <c r="G137" i="13" s="1"/>
  <c r="K137" i="13" s="1"/>
  <c r="L137" i="13" s="1"/>
  <c r="H109" i="13"/>
  <c r="G140" i="13" s="1"/>
  <c r="K140" i="13" s="1"/>
  <c r="L140" i="13" s="1"/>
  <c r="H107" i="13"/>
  <c r="G138" i="13" s="1"/>
  <c r="K138" i="13" s="1"/>
  <c r="L138" i="13" s="1"/>
  <c r="H108" i="13"/>
  <c r="G139" i="13" s="1"/>
  <c r="K139" i="13" s="1"/>
  <c r="L139" i="13" s="1"/>
  <c r="H104" i="13"/>
  <c r="G135" i="13" s="1"/>
  <c r="K135" i="13" s="1"/>
  <c r="L135" i="13" s="1"/>
  <c r="H103" i="13"/>
  <c r="G134" i="13" s="1"/>
  <c r="H105" i="13"/>
  <c r="G136" i="13" s="1"/>
  <c r="K136" i="13" s="1"/>
  <c r="L136" i="13" s="1"/>
  <c r="J146" i="13"/>
  <c r="H146" i="13"/>
  <c r="K133" i="13"/>
  <c r="L133" i="13" s="1"/>
  <c r="I146" i="13"/>
  <c r="K141" i="13"/>
  <c r="L141" i="13" s="1"/>
  <c r="L113" i="13"/>
  <c r="L111" i="13"/>
  <c r="L110" i="13"/>
  <c r="L114" i="13"/>
  <c r="L112" i="13"/>
  <c r="K115" i="13"/>
  <c r="G115" i="13"/>
  <c r="I115" i="13"/>
  <c r="J115" i="13"/>
  <c r="I91" i="13" l="1"/>
  <c r="C98" i="13"/>
  <c r="H92" i="13"/>
  <c r="H98" i="13" s="1"/>
  <c r="I92" i="13"/>
  <c r="K92" i="13" s="1"/>
  <c r="L107" i="13"/>
  <c r="L106" i="13"/>
  <c r="L109" i="13"/>
  <c r="L108" i="13"/>
  <c r="G146" i="13"/>
  <c r="L105" i="13"/>
  <c r="L104" i="13"/>
  <c r="K134" i="13"/>
  <c r="L134" i="13" s="1"/>
  <c r="F146" i="13"/>
  <c r="L103" i="13"/>
  <c r="H115" i="13"/>
  <c r="H3" i="10"/>
  <c r="I3" i="10" s="1"/>
  <c r="H4" i="10" s="1"/>
  <c r="I4" i="10" s="1"/>
  <c r="H5" i="10" s="1"/>
  <c r="I5" i="10" s="1"/>
  <c r="H6" i="10" s="1"/>
  <c r="I6" i="10" s="1"/>
  <c r="H7" i="10" s="1"/>
  <c r="I7" i="10" s="1"/>
  <c r="H8" i="10" s="1"/>
  <c r="I8" i="10" s="1"/>
  <c r="H9" i="10" s="1"/>
  <c r="I9" i="10" s="1"/>
  <c r="H10" i="10" s="1"/>
  <c r="I10" i="10" s="1"/>
  <c r="H11" i="10" s="1"/>
  <c r="I11" i="10" s="1"/>
  <c r="H12" i="10" s="1"/>
  <c r="I12" i="10" s="1"/>
  <c r="H13" i="10" s="1"/>
  <c r="I13" i="10" s="1"/>
  <c r="L92" i="13" l="1"/>
  <c r="I98" i="13"/>
  <c r="K91" i="13"/>
  <c r="L115" i="13"/>
  <c r="K146" i="13"/>
  <c r="L146" i="13"/>
  <c r="L91" i="13" l="1"/>
  <c r="L98" i="13" s="1"/>
  <c r="I165" i="13"/>
  <c r="I166" i="13" s="1"/>
  <c r="I169" i="13" s="1"/>
  <c r="I154" i="13"/>
  <c r="I153" i="13"/>
  <c r="I156" i="13"/>
  <c r="I159" i="13"/>
  <c r="I155" i="13"/>
  <c r="I152" i="13"/>
  <c r="I150" i="13"/>
  <c r="I158" i="13"/>
  <c r="I151" i="13"/>
  <c r="I168" i="13" l="1"/>
  <c r="I167" i="13"/>
  <c r="H165" i="13"/>
  <c r="H166" i="13" s="1"/>
  <c r="H168" i="13" l="1"/>
  <c r="H169" i="13"/>
  <c r="H167" i="13"/>
  <c r="H152" i="13"/>
  <c r="I157" i="13" s="1"/>
  <c r="H151" i="13"/>
  <c r="H157" i="13"/>
  <c r="H153" i="13"/>
  <c r="H150" i="13"/>
  <c r="H154" i="13"/>
  <c r="H155" i="13"/>
  <c r="H156" i="13"/>
  <c r="H158" i="13"/>
  <c r="H15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tc={1BFEC006-1BB9-4285-AEC8-781AE1700CA1}</author>
  </authors>
  <commentList>
    <comment ref="I15" authorId="0" shapeId="0" xr:uid="{1BFEC006-1BB9-4285-AEC8-781AE1700CA1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1) Numero de inscrições; 
ou em falta essa informação 
2) Colocar 15 formandos que é o que consta da candidatura.</t>
      </text>
    </comment>
  </commentList>
</comments>
</file>

<file path=xl/sharedStrings.xml><?xml version="1.0" encoding="utf-8"?>
<sst xmlns="http://schemas.openxmlformats.org/spreadsheetml/2006/main" count="273" uniqueCount="222">
  <si>
    <t>Módulos</t>
  </si>
  <si>
    <t>ECTS MIN</t>
  </si>
  <si>
    <t>ECTS MAX</t>
  </si>
  <si>
    <t>VALOR</t>
  </si>
  <si>
    <t>INTERVALO</t>
  </si>
  <si>
    <t>ALUNOS MIN</t>
  </si>
  <si>
    <t>ALUNOS MAX</t>
  </si>
  <si>
    <t>Fator correção</t>
  </si>
  <si>
    <t>Ponderador</t>
  </si>
  <si>
    <t>TIPO DE BOLSA</t>
  </si>
  <si>
    <t>Intervalo 1</t>
  </si>
  <si>
    <t>Intervalo 2</t>
  </si>
  <si>
    <t>Método de Ensino</t>
  </si>
  <si>
    <t>ACADEMIAS DO PRR-LFA</t>
  </si>
  <si>
    <t>Programa</t>
  </si>
  <si>
    <t>Valor hora de formação (despacho n.º 127/2022)</t>
  </si>
  <si>
    <t>Base</t>
  </si>
  <si>
    <t>Máximo</t>
  </si>
  <si>
    <t>Custo/ dia</t>
  </si>
  <si>
    <t>Valor</t>
  </si>
  <si>
    <t>Numero de alunos</t>
  </si>
  <si>
    <t>Dirigentes</t>
  </si>
  <si>
    <t>Alojamento</t>
  </si>
  <si>
    <t>Numero de Alunos (base candidatura)</t>
  </si>
  <si>
    <t>1 - Formação com baixo investimento e baixo impacto (1.00)</t>
  </si>
  <si>
    <t>Bolsas Equal</t>
  </si>
  <si>
    <t>Presencial</t>
  </si>
  <si>
    <t>IMPULSO ADULTOS</t>
  </si>
  <si>
    <t>Carreiras de Grau 3 de complexidade funcional (Licenciatura ou grau académico superior a esta)</t>
  </si>
  <si>
    <t>Alimentação</t>
  </si>
  <si>
    <t>Número de Vagas da proposta curso</t>
  </si>
  <si>
    <t>2 - Formação com baixo investimento e impacto moderado (1.00)</t>
  </si>
  <si>
    <t xml:space="preserve">Bolsas Partner </t>
  </si>
  <si>
    <t>E-Learning</t>
  </si>
  <si>
    <t>Academia de Software e Economia 4.0 (ASE)</t>
  </si>
  <si>
    <t>Carreiras de Grau 1 e 2 de complexidade funcional (1 = Escolaridade obrigatória, ainda que acrescida de formação profissional adequada; 2 = 12.º ano de escolaridade ou curso equiparado)</t>
  </si>
  <si>
    <t>Deslocações</t>
  </si>
  <si>
    <t xml:space="preserve">Numero de Inscrições </t>
  </si>
  <si>
    <t>3 - Formação com baixo investimento e impacto elevado (0.8)</t>
  </si>
  <si>
    <t>Bolsas Boost</t>
  </si>
  <si>
    <t>B-Learning</t>
  </si>
  <si>
    <t>Academia de Saúde e Longevidade (ASL)</t>
  </si>
  <si>
    <t>4 - Formação com moderado investimento e baixo impacto (1.00)</t>
  </si>
  <si>
    <t>Academia para Territórios Inteligentes (ATI)</t>
  </si>
  <si>
    <t>5 - Formação com moderado investimento e impacto moderado (1.00)</t>
  </si>
  <si>
    <t>Academia de Formação de Professores</t>
  </si>
  <si>
    <t>https://www.dgaep.gov.pt/upload/homepage/Noticias/LVCR/TAB_GRAUS_COMPLEXIDADE_FUNCIONAL.pdf</t>
  </si>
  <si>
    <t>6 - Formação com moderado investimento e impacto elevado (0.8)</t>
  </si>
  <si>
    <t>7 - Formação com alto investimento e baixo impacto (1.2)</t>
  </si>
  <si>
    <t>INCENTIVO JOVENS STEAM</t>
  </si>
  <si>
    <t>8 - Formação com alto investimento e impacto moderado (1.2)</t>
  </si>
  <si>
    <t>Uc Factory - Academies (FA)</t>
  </si>
  <si>
    <t>9 - Formação com alto investimento e impacto elevado (0.8)</t>
  </si>
  <si>
    <t>Academia de Soft skills  para Futuros Prof. Areas Steam</t>
  </si>
  <si>
    <t>Academia Steam de Empreendorismo, Sustentabilidade e Inovação (AESI)</t>
  </si>
  <si>
    <t>Academia de Inteligencia Digital (AID)</t>
  </si>
  <si>
    <t>Horas Min</t>
  </si>
  <si>
    <t>m1</t>
  </si>
  <si>
    <t>m2</t>
  </si>
  <si>
    <t>m3</t>
  </si>
  <si>
    <t>m4</t>
  </si>
  <si>
    <t>m5</t>
  </si>
  <si>
    <t>m6</t>
  </si>
  <si>
    <t>m7</t>
  </si>
  <si>
    <t>horas</t>
  </si>
  <si>
    <t>ects</t>
  </si>
  <si>
    <t>Horas</t>
  </si>
  <si>
    <t>ECTS</t>
  </si>
  <si>
    <t>Património</t>
  </si>
  <si>
    <t>Min</t>
  </si>
  <si>
    <t>max</t>
  </si>
  <si>
    <t>euros</t>
  </si>
  <si>
    <t>custos da plataforma</t>
  </si>
  <si>
    <t>Modelo de viabiliadade financeira dos cursos PRR- LFA</t>
  </si>
  <si>
    <t>Sim</t>
  </si>
  <si>
    <t>Não</t>
  </si>
  <si>
    <t>1. Características do Curso</t>
  </si>
  <si>
    <t>Designação do Curso</t>
  </si>
  <si>
    <t>Curso PRR - LFA</t>
  </si>
  <si>
    <t>N.º Candidatura</t>
  </si>
  <si>
    <t>N.º Curso</t>
  </si>
  <si>
    <t>Sub-programa do PRR</t>
  </si>
  <si>
    <t>Academia do PRR - LFA</t>
  </si>
  <si>
    <t>Data Prevista</t>
  </si>
  <si>
    <t>Inicial</t>
  </si>
  <si>
    <t>Final</t>
  </si>
  <si>
    <t>Ano curso</t>
  </si>
  <si>
    <t>Duração</t>
  </si>
  <si>
    <t>dias</t>
  </si>
  <si>
    <t>Unidade Orgânica (Faculdade / Departamento)</t>
  </si>
  <si>
    <t>Coordenadores</t>
  </si>
  <si>
    <t>Instituição Parceira</t>
  </si>
  <si>
    <t>Numero de horas Curso</t>
  </si>
  <si>
    <t>Totais</t>
  </si>
  <si>
    <t>Horas contato</t>
  </si>
  <si>
    <t xml:space="preserve">Numero de ECTS do Curso </t>
  </si>
  <si>
    <t>Numero de módulos</t>
  </si>
  <si>
    <t>Numero da edição</t>
  </si>
  <si>
    <r>
      <t>Numero de Alunos (</t>
    </r>
    <r>
      <rPr>
        <i/>
        <sz val="8"/>
        <color theme="1"/>
        <rFont val="Tahoma"/>
        <family val="2"/>
      </rPr>
      <t>base candidatura</t>
    </r>
    <r>
      <rPr>
        <sz val="8"/>
        <color theme="1"/>
        <rFont val="Tahoma"/>
        <family val="2"/>
      </rPr>
      <t>)</t>
    </r>
  </si>
  <si>
    <t>Método de ensino</t>
  </si>
  <si>
    <t>Seleção Alunos</t>
  </si>
  <si>
    <t>PVC minimo cursos PRR-LFA</t>
  </si>
  <si>
    <t>Tipo de Cálculo do Curso</t>
  </si>
  <si>
    <t>Cálculo com Módulos</t>
  </si>
  <si>
    <t>Destinatários da Formação</t>
  </si>
  <si>
    <t>2. Gastos imputados aos alunos</t>
  </si>
  <si>
    <t>Por Aluno</t>
  </si>
  <si>
    <t>2.1 Taxa de Inscrição</t>
  </si>
  <si>
    <t>2.2 Diplomas</t>
  </si>
  <si>
    <t>2A. Gastos imputados aos alunos</t>
  </si>
  <si>
    <t>2.3 Gastos do curso baseado no tipo de calculo do curso = horas</t>
  </si>
  <si>
    <t>2.4 Gastos do curso baseado no tipo de calculo do curso = ECTS</t>
  </si>
  <si>
    <t>3. Gastos imputados ao curso</t>
  </si>
  <si>
    <t>3.1 - Gastos com Docentes</t>
  </si>
  <si>
    <t>Dias Alojamento</t>
  </si>
  <si>
    <t>N.º Refeições</t>
  </si>
  <si>
    <t>Complexidade formação (despacho n.º 127/2022)</t>
  </si>
  <si>
    <t>Custo hora</t>
  </si>
  <si>
    <t>N.º horas</t>
  </si>
  <si>
    <t>Valores Totais</t>
  </si>
  <si>
    <t>Nome Docente 1</t>
  </si>
  <si>
    <t>Nome Docente 2</t>
  </si>
  <si>
    <t>Nome Docente 3</t>
  </si>
  <si>
    <t>Nome Docente 4</t>
  </si>
  <si>
    <t>Nome Docente 5</t>
  </si>
  <si>
    <t>Nome Docente 6</t>
  </si>
  <si>
    <t>Nome Docente 7</t>
  </si>
  <si>
    <t>Nome Docente 8</t>
  </si>
  <si>
    <t>Nome Docente 9</t>
  </si>
  <si>
    <t>Nome Docente 10</t>
  </si>
  <si>
    <t>sub total 3.1</t>
  </si>
  <si>
    <t>Horas de docentes por distribuir</t>
  </si>
  <si>
    <t>Apoio de PRR / valor a apoiar</t>
  </si>
  <si>
    <t>3.2 - Outros gastos</t>
  </si>
  <si>
    <t>Aluguer de Edifícios</t>
  </si>
  <si>
    <t>Aluguer de Equipamentos</t>
  </si>
  <si>
    <t>Material Didático</t>
  </si>
  <si>
    <t>Publicidade paga em divulgação externa para este curso</t>
  </si>
  <si>
    <t>Gravações</t>
  </si>
  <si>
    <t>Seminários e Exposições</t>
  </si>
  <si>
    <t>Material de Laboratório</t>
  </si>
  <si>
    <t>Deslocações e Estadas</t>
  </si>
  <si>
    <t>Transportes</t>
  </si>
  <si>
    <t>Comunicações</t>
  </si>
  <si>
    <t>Serviços Informáticos</t>
  </si>
  <si>
    <t>Construção pagina internet</t>
  </si>
  <si>
    <t>Aquisição de Bens</t>
  </si>
  <si>
    <t>Outros Serviços/Fornecimentos</t>
  </si>
  <si>
    <t>Outros 3</t>
  </si>
  <si>
    <t>Outros 4</t>
  </si>
  <si>
    <t>Outros 5</t>
  </si>
  <si>
    <t>Outros 6</t>
  </si>
  <si>
    <t>Sub-total 3.2</t>
  </si>
  <si>
    <t>3.3 - Despesas de Capital (despesas que são para imputar a vários anos, no máximo os anos do PRR)</t>
  </si>
  <si>
    <t>Rubrica de despesas de Capital</t>
  </si>
  <si>
    <t>Anos a imputar</t>
  </si>
  <si>
    <t>Rubrica 1</t>
  </si>
  <si>
    <t>Rubrica 2</t>
  </si>
  <si>
    <t>Sub total 3.3</t>
  </si>
  <si>
    <t>4 - Gastos totais imputados ao curso</t>
  </si>
  <si>
    <t>Custo fornecedor</t>
  </si>
  <si>
    <t>N.º alunos</t>
  </si>
  <si>
    <t>Custo total</t>
  </si>
  <si>
    <t>% comp.  bolsa</t>
  </si>
  <si>
    <t>Bolsa / Aluno</t>
  </si>
  <si>
    <t>Bolsas Totais</t>
  </si>
  <si>
    <t>0 - Curso por módulos, então este quadro é ZERO)</t>
  </si>
  <si>
    <t>3 - Gastos com RH</t>
  </si>
  <si>
    <t>4 - Gastos com FSE</t>
  </si>
  <si>
    <t>5 - Gastos com amortizações do investimento</t>
  </si>
  <si>
    <t>Módulo</t>
  </si>
  <si>
    <t>Fator correcção aos módulos</t>
  </si>
  <si>
    <t>Horas Contato por módulo</t>
  </si>
  <si>
    <t xml:space="preserve">Alunos </t>
  </si>
  <si>
    <t>Custo curso por horas (item 2.3)</t>
  </si>
  <si>
    <t>Custos fixos/aluno</t>
  </si>
  <si>
    <t>Custos RH</t>
  </si>
  <si>
    <t>Custos Gerais</t>
  </si>
  <si>
    <t>Custos investimento</t>
  </si>
  <si>
    <t>Custo final/aluno/módulo</t>
  </si>
  <si>
    <t>0 - Curso SEM módulos, então este quadro é ZERO)</t>
  </si>
  <si>
    <t>Módulo geral</t>
  </si>
  <si>
    <t>Alunos</t>
  </si>
  <si>
    <t>Bolsa/aluno/módulo</t>
  </si>
  <si>
    <t>Gastos com Bolsas</t>
  </si>
  <si>
    <t>Variação alunos</t>
  </si>
  <si>
    <t>Alunos do curso</t>
  </si>
  <si>
    <t xml:space="preserve">PVP </t>
  </si>
  <si>
    <t>PVP com módulos</t>
  </si>
  <si>
    <t>11.1 Alunos</t>
  </si>
  <si>
    <t>11.2 Intervalo de decisão (Variação de alunos)</t>
  </si>
  <si>
    <t>GASTOS COM RH</t>
  </si>
  <si>
    <t>GASTOS GERAIS</t>
  </si>
  <si>
    <t>GASTOS COM INVESTIMENTOS (depreciação)</t>
  </si>
  <si>
    <t>BOLSAS ATRIBUIDAS</t>
  </si>
  <si>
    <t>Gastos totais</t>
  </si>
  <si>
    <t>CUSTO UNITÁRIO POR ECTS</t>
  </si>
  <si>
    <t>CUSTO UNITÁRIO POR HORAS DE CONTATO</t>
  </si>
  <si>
    <t xml:space="preserve">CUSTO UNITÁRIO POR HORAS DOS ECTS </t>
  </si>
  <si>
    <t>OBSERVAÇÕES SOBRE O CURSO</t>
  </si>
  <si>
    <t>JovensSTEAM</t>
  </si>
  <si>
    <t>Adultos</t>
  </si>
  <si>
    <t>Fator correcção</t>
  </si>
  <si>
    <t>Preço por aluno
Base</t>
  </si>
  <si>
    <t>5. Custo do curso por aluno ( não aplicável a módulos)</t>
  </si>
  <si>
    <t>6. Preço do curso com módulos</t>
  </si>
  <si>
    <t>7. Rubricas e percentagens para efeitos de bolsa em curso com módulos</t>
  </si>
  <si>
    <t>8. Bolsa atribuida em curso com módulos</t>
  </si>
  <si>
    <t>9. Cenários de Preço de venda consoante o numero de inscrições</t>
  </si>
  <si>
    <t>10. RESUMO FINANCEIRO</t>
  </si>
  <si>
    <t>11. OBSERVAÇÕES</t>
  </si>
  <si>
    <t>CURSO</t>
  </si>
  <si>
    <t>CURSO COM MÓDULOS</t>
  </si>
  <si>
    <t>Custo total /aluno</t>
  </si>
  <si>
    <t xml:space="preserve">12. Lista de alertas e erros encontrados </t>
  </si>
  <si>
    <t>Outros 1</t>
  </si>
  <si>
    <t>Outros 2</t>
  </si>
  <si>
    <t>TOTAIS</t>
  </si>
  <si>
    <t>1 - Gastos com diplomas + inscrição (arredon.)</t>
  </si>
  <si>
    <t>2 - Gastos imputados ao aluno:função de ECTS/horas (arredon.)</t>
  </si>
  <si>
    <t>Preço do curso/ aluno (NONIO)</t>
  </si>
  <si>
    <t>Curso de Formação em Aspetos éticos e Sociais em Genética Laboratorial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</si>
</sst>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\ &quot;€&quot;"/>
    <numFmt numFmtId="165" formatCode="#,##0.00_ ;[Red]\-#,##0.00\ "/>
    <numFmt numFmtId="166" formatCode="#,##0_ ;[Red]\-#,##0\ "/>
    <numFmt numFmtId="167" formatCode="0.0"/>
    <numFmt numFmtId="168" formatCode="\+#,##0_ ;[Red]\-#,##0\ "/>
    <numFmt numFmtId="169" formatCode="#,##0.0_ ;[Red]\-#,##0.0\ "/>
    <numFmt numFmtId="170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0070C0"/>
      <name val="Tahoma"/>
      <family val="2"/>
    </font>
    <font>
      <i/>
      <sz val="8"/>
      <color theme="1"/>
      <name val="Tahoma"/>
      <family val="2"/>
    </font>
    <font>
      <b/>
      <sz val="8"/>
      <color rgb="FF0070C0"/>
      <name val="Tahoma"/>
      <family val="2"/>
    </font>
    <font>
      <i/>
      <sz val="8"/>
      <color rgb="FF0070C0"/>
      <name val="Tahoma"/>
      <family val="2"/>
    </font>
    <font>
      <sz val="8"/>
      <color rgb="FFFF0000"/>
      <name val="Tahoma"/>
      <family val="2"/>
    </font>
    <font>
      <b/>
      <sz val="9"/>
      <color theme="0"/>
      <name val="Tahoma"/>
      <family val="2"/>
    </font>
    <font>
      <b/>
      <sz val="8"/>
      <color theme="9" tint="-0.249977111117893"/>
      <name val="Tahoma"/>
      <family val="2"/>
    </font>
    <font>
      <sz val="8"/>
      <color theme="4"/>
      <name val="Tahoma"/>
      <family val="2"/>
    </font>
    <font>
      <sz val="8"/>
      <color theme="5"/>
      <name val="Tahoma"/>
      <family val="2"/>
    </font>
    <font>
      <b/>
      <sz val="8"/>
      <color theme="0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FF0000"/>
      <name val="Tahoma"/>
      <family val="2"/>
    </font>
    <font>
      <b/>
      <sz val="9"/>
      <color rgb="FFFF0000"/>
      <name val="Tahoma"/>
      <family val="2"/>
    </font>
    <font>
      <b/>
      <sz val="9"/>
      <color rgb="FF0070C0"/>
      <name val="Tahoma"/>
      <family val="2"/>
    </font>
    <font>
      <b/>
      <sz val="7"/>
      <color rgb="FFFF0000"/>
      <name val="Tahoma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AF727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/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1" fontId="4" fillId="3" borderId="8" xfId="0" applyNumberFormat="1" applyFont="1" applyFill="1" applyBorder="1" applyAlignment="1" applyProtection="1">
      <alignment horizontal="center"/>
      <protection locked="0"/>
    </xf>
    <xf numFmtId="167" fontId="4" fillId="3" borderId="8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vertical="center"/>
    </xf>
    <xf numFmtId="164" fontId="4" fillId="3" borderId="9" xfId="1" applyNumberFormat="1" applyFon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2" applyNumberFormat="1" applyFont="1" applyFill="1" applyAlignment="1" applyProtection="1">
      <alignment horizontal="center" vertical="center"/>
    </xf>
    <xf numFmtId="165" fontId="4" fillId="2" borderId="9" xfId="1" applyNumberFormat="1" applyFont="1" applyFill="1" applyBorder="1" applyAlignment="1" applyProtection="1">
      <alignment horizontal="center" vertical="center"/>
    </xf>
    <xf numFmtId="0" fontId="4" fillId="3" borderId="9" xfId="1" applyNumberFormat="1" applyFont="1" applyFill="1" applyBorder="1" applyAlignment="1" applyProtection="1">
      <alignment horizontal="center" vertical="center"/>
    </xf>
    <xf numFmtId="168" fontId="4" fillId="3" borderId="9" xfId="1" applyNumberFormat="1" applyFont="1" applyFill="1" applyBorder="1" applyAlignment="1" applyProtection="1">
      <alignment horizontal="center" vertical="center"/>
    </xf>
    <xf numFmtId="0" fontId="4" fillId="2" borderId="9" xfId="1" applyNumberFormat="1" applyFont="1" applyFill="1" applyBorder="1" applyAlignment="1" applyProtection="1">
      <alignment horizontal="center" vertic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14" fontId="4" fillId="5" borderId="12" xfId="0" applyNumberFormat="1" applyFont="1" applyFill="1" applyBorder="1" applyAlignment="1" applyProtection="1">
      <alignment vertical="top" wrapText="1"/>
      <protection locked="0"/>
    </xf>
    <xf numFmtId="0" fontId="4" fillId="5" borderId="8" xfId="0" applyFont="1" applyFill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65" fontId="4" fillId="5" borderId="9" xfId="1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9" xfId="1" applyNumberFormat="1" applyFont="1" applyFill="1" applyBorder="1" applyAlignment="1" applyProtection="1">
      <alignment horizontal="center" vertical="center"/>
      <protection locked="0"/>
    </xf>
    <xf numFmtId="166" fontId="4" fillId="3" borderId="9" xfId="1" applyNumberFormat="1" applyFont="1" applyFill="1" applyBorder="1" applyAlignment="1" applyProtection="1">
      <alignment horizontal="center" vertical="center"/>
    </xf>
    <xf numFmtId="164" fontId="10" fillId="7" borderId="9" xfId="1" applyNumberFormat="1" applyFont="1" applyFill="1" applyBorder="1" applyAlignment="1" applyProtection="1">
      <alignment horizontal="center" vertical="center"/>
    </xf>
    <xf numFmtId="164" fontId="4" fillId="6" borderId="9" xfId="1" applyNumberFormat="1" applyFont="1" applyFill="1" applyBorder="1" applyAlignment="1" applyProtection="1">
      <alignment horizontal="center" vertical="center"/>
    </xf>
    <xf numFmtId="164" fontId="4" fillId="6" borderId="11" xfId="1" applyNumberFormat="1" applyFont="1" applyFill="1" applyBorder="1" applyAlignment="1" applyProtection="1">
      <alignment vertical="center"/>
    </xf>
    <xf numFmtId="164" fontId="4" fillId="6" borderId="9" xfId="1" applyNumberFormat="1" applyFont="1" applyFill="1" applyBorder="1" applyAlignment="1" applyProtection="1">
      <alignment horizontal="center" vertical="center" wrapText="1"/>
    </xf>
    <xf numFmtId="0" fontId="4" fillId="3" borderId="16" xfId="1" applyNumberFormat="1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vertical="center"/>
      <protection locked="0"/>
    </xf>
    <xf numFmtId="0" fontId="10" fillId="7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2" fontId="0" fillId="2" borderId="0" xfId="0" applyNumberFormat="1" applyFill="1"/>
    <xf numFmtId="166" fontId="4" fillId="2" borderId="9" xfId="1" applyNumberFormat="1" applyFont="1" applyFill="1" applyBorder="1" applyAlignment="1" applyProtection="1">
      <alignment horizontal="center" vertical="center"/>
    </xf>
    <xf numFmtId="0" fontId="10" fillId="7" borderId="10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/>
    </xf>
    <xf numFmtId="14" fontId="4" fillId="5" borderId="0" xfId="0" applyNumberFormat="1" applyFont="1" applyFill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169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vertical="top" wrapText="1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6" fontId="4" fillId="2" borderId="9" xfId="1" applyNumberFormat="1" applyFont="1" applyFill="1" applyBorder="1" applyAlignment="1" applyProtection="1">
      <alignment horizontal="left" vertical="center"/>
    </xf>
    <xf numFmtId="164" fontId="4" fillId="3" borderId="8" xfId="0" applyNumberFormat="1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0" fontId="0" fillId="8" borderId="0" xfId="0" applyFill="1"/>
    <xf numFmtId="0" fontId="13" fillId="9" borderId="8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 applyProtection="1">
      <alignment horizontal="center" vertical="center"/>
    </xf>
    <xf numFmtId="0" fontId="6" fillId="10" borderId="8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 wrapText="1"/>
    </xf>
    <xf numFmtId="164" fontId="6" fillId="10" borderId="9" xfId="1" applyNumberFormat="1" applyFont="1" applyFill="1" applyBorder="1" applyAlignment="1" applyProtection="1">
      <alignment horizontal="center" vertical="center"/>
    </xf>
    <xf numFmtId="164" fontId="3" fillId="10" borderId="9" xfId="1" applyNumberFormat="1" applyFont="1" applyFill="1" applyBorder="1" applyAlignment="1" applyProtection="1">
      <alignment horizontal="center" vertical="center"/>
    </xf>
    <xf numFmtId="0" fontId="3" fillId="10" borderId="8" xfId="0" applyFont="1" applyFill="1" applyBorder="1" applyAlignment="1">
      <alignment vertical="center" wrapText="1"/>
    </xf>
    <xf numFmtId="4" fontId="3" fillId="10" borderId="10" xfId="0" applyNumberFormat="1" applyFont="1" applyFill="1" applyBorder="1" applyAlignment="1">
      <alignment horizontal="left" vertical="center" wrapText="1"/>
    </xf>
    <xf numFmtId="2" fontId="3" fillId="10" borderId="9" xfId="1" applyNumberFormat="1" applyFont="1" applyFill="1" applyBorder="1" applyAlignment="1" applyProtection="1">
      <alignment horizontal="center" vertical="center"/>
    </xf>
    <xf numFmtId="2" fontId="3" fillId="10" borderId="8" xfId="1" applyNumberFormat="1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13" fillId="9" borderId="8" xfId="0" applyFont="1" applyFill="1" applyBorder="1" applyAlignment="1">
      <alignment vertical="center"/>
    </xf>
    <xf numFmtId="3" fontId="4" fillId="2" borderId="9" xfId="1" applyNumberFormat="1" applyFont="1" applyFill="1" applyBorder="1" applyAlignment="1" applyProtection="1">
      <alignment horizontal="center" vertical="center"/>
    </xf>
    <xf numFmtId="3" fontId="2" fillId="2" borderId="0" xfId="0" applyNumberFormat="1" applyFont="1" applyFill="1" applyAlignment="1">
      <alignment vertical="center"/>
    </xf>
    <xf numFmtId="170" fontId="4" fillId="5" borderId="9" xfId="1" applyNumberFormat="1" applyFont="1" applyFill="1" applyBorder="1" applyAlignment="1" applyProtection="1">
      <alignment horizontal="center" vertical="center"/>
      <protection locked="0"/>
    </xf>
    <xf numFmtId="9" fontId="4" fillId="5" borderId="9" xfId="1" applyFont="1" applyFill="1" applyBorder="1" applyAlignment="1" applyProtection="1">
      <alignment horizontal="center" vertical="center"/>
      <protection locked="0"/>
    </xf>
    <xf numFmtId="0" fontId="14" fillId="10" borderId="17" xfId="0" applyFont="1" applyFill="1" applyBorder="1" applyAlignment="1">
      <alignment vertical="center"/>
    </xf>
    <xf numFmtId="0" fontId="14" fillId="10" borderId="17" xfId="0" applyFont="1" applyFill="1" applyBorder="1" applyAlignment="1">
      <alignment horizontal="center" vertical="center"/>
    </xf>
    <xf numFmtId="164" fontId="14" fillId="10" borderId="17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3" fontId="4" fillId="3" borderId="9" xfId="1" applyNumberFormat="1" applyFont="1" applyFill="1" applyBorder="1" applyAlignment="1" applyProtection="1">
      <alignment horizontal="center" vertical="center"/>
    </xf>
    <xf numFmtId="1" fontId="4" fillId="3" borderId="16" xfId="1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>
      <alignment horizontal="left" vertical="center"/>
    </xf>
    <xf numFmtId="164" fontId="4" fillId="3" borderId="16" xfId="1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 wrapText="1"/>
      <protection locked="0"/>
    </xf>
    <xf numFmtId="0" fontId="17" fillId="2" borderId="0" xfId="3" applyFont="1" applyFill="1"/>
    <xf numFmtId="3" fontId="3" fillId="10" borderId="9" xfId="1" applyNumberFormat="1" applyFont="1" applyFill="1" applyBorder="1" applyAlignment="1" applyProtection="1">
      <alignment horizontal="center" vertical="center"/>
    </xf>
    <xf numFmtId="164" fontId="4" fillId="3" borderId="9" xfId="1" applyNumberFormat="1" applyFont="1" applyFill="1" applyBorder="1" applyAlignment="1" applyProtection="1">
      <alignment horizontal="right" vertical="center"/>
    </xf>
    <xf numFmtId="164" fontId="3" fillId="10" borderId="9" xfId="1" applyNumberFormat="1" applyFont="1" applyFill="1" applyBorder="1" applyAlignment="1" applyProtection="1">
      <alignment horizontal="right" vertical="center"/>
    </xf>
    <xf numFmtId="164" fontId="4" fillId="6" borderId="10" xfId="1" applyNumberFormat="1" applyFont="1" applyFill="1" applyBorder="1" applyAlignment="1" applyProtection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 wrapText="1"/>
    </xf>
    <xf numFmtId="2" fontId="3" fillId="10" borderId="0" xfId="1" applyNumberFormat="1" applyFont="1" applyFill="1" applyBorder="1" applyAlignment="1" applyProtection="1">
      <alignment horizontal="center" vertical="center"/>
    </xf>
    <xf numFmtId="4" fontId="3" fillId="10" borderId="0" xfId="0" applyNumberFormat="1" applyFont="1" applyFill="1" applyAlignment="1">
      <alignment horizontal="left" vertical="center" wrapText="1"/>
    </xf>
    <xf numFmtId="9" fontId="3" fillId="10" borderId="9" xfId="1" applyFont="1" applyFill="1" applyBorder="1" applyAlignment="1" applyProtection="1">
      <alignment horizontal="center" vertical="center"/>
    </xf>
    <xf numFmtId="0" fontId="13" fillId="9" borderId="18" xfId="0" applyFont="1" applyFill="1" applyBorder="1" applyAlignment="1">
      <alignment vertical="center" wrapText="1"/>
    </xf>
    <xf numFmtId="0" fontId="13" fillId="9" borderId="18" xfId="0" applyFont="1" applyFill="1" applyBorder="1" applyAlignment="1">
      <alignment horizontal="center" vertical="center" wrapText="1"/>
    </xf>
    <xf numFmtId="1" fontId="4" fillId="3" borderId="16" xfId="1" applyNumberFormat="1" applyFont="1" applyFill="1" applyBorder="1" applyAlignment="1" applyProtection="1">
      <alignment horizontal="center" vertical="center"/>
    </xf>
    <xf numFmtId="1" fontId="18" fillId="3" borderId="16" xfId="1" applyNumberFormat="1" applyFont="1" applyFill="1" applyBorder="1" applyAlignment="1" applyProtection="1">
      <alignment horizontal="left" vertical="center"/>
    </xf>
    <xf numFmtId="3" fontId="19" fillId="3" borderId="9" xfId="1" applyNumberFormat="1" applyFont="1" applyFill="1" applyBorder="1" applyAlignment="1" applyProtection="1">
      <alignment horizontal="center" vertical="center"/>
    </xf>
    <xf numFmtId="1" fontId="20" fillId="3" borderId="16" xfId="1" applyNumberFormat="1" applyFont="1" applyFill="1" applyBorder="1" applyAlignment="1" applyProtection="1">
      <alignment horizontal="center" vertical="center"/>
    </xf>
    <xf numFmtId="164" fontId="20" fillId="3" borderId="9" xfId="1" applyNumberFormat="1" applyFont="1" applyFill="1" applyBorder="1" applyAlignment="1" applyProtection="1">
      <alignment horizontal="center" vertical="center"/>
    </xf>
    <xf numFmtId="164" fontId="20" fillId="3" borderId="16" xfId="1" applyNumberFormat="1" applyFont="1" applyFill="1" applyBorder="1" applyAlignment="1" applyProtection="1">
      <alignment horizontal="center" vertical="center"/>
    </xf>
    <xf numFmtId="3" fontId="4" fillId="3" borderId="16" xfId="1" applyNumberFormat="1" applyFont="1" applyFill="1" applyBorder="1" applyAlignment="1" applyProtection="1">
      <alignment horizontal="center" vertical="center"/>
    </xf>
    <xf numFmtId="9" fontId="6" fillId="5" borderId="9" xfId="1" applyFont="1" applyFill="1" applyBorder="1" applyAlignment="1" applyProtection="1">
      <alignment horizontal="center" vertical="center" wrapText="1"/>
      <protection locked="0"/>
    </xf>
    <xf numFmtId="9" fontId="20" fillId="5" borderId="9" xfId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>
      <alignment horizontal="right" vertical="center"/>
    </xf>
    <xf numFmtId="0" fontId="6" fillId="5" borderId="9" xfId="1" applyNumberFormat="1" applyFont="1" applyFill="1" applyBorder="1" applyAlignment="1" applyProtection="1">
      <alignment horizontal="center" vertical="center"/>
    </xf>
    <xf numFmtId="3" fontId="6" fillId="5" borderId="9" xfId="1" applyNumberFormat="1" applyFont="1" applyFill="1" applyBorder="1" applyAlignment="1" applyProtection="1">
      <alignment horizontal="center" vertical="center"/>
    </xf>
    <xf numFmtId="164" fontId="6" fillId="5" borderId="9" xfId="1" applyNumberFormat="1" applyFont="1" applyFill="1" applyBorder="1" applyAlignment="1" applyProtection="1">
      <alignment horizontal="center" vertical="center"/>
    </xf>
    <xf numFmtId="9" fontId="4" fillId="5" borderId="9" xfId="1" applyFont="1" applyFill="1" applyBorder="1" applyAlignment="1" applyProtection="1">
      <alignment horizontal="center" vertical="center"/>
    </xf>
    <xf numFmtId="1" fontId="21" fillId="3" borderId="16" xfId="1" applyNumberFormat="1" applyFont="1" applyFill="1" applyBorder="1" applyAlignment="1" applyProtection="1">
      <alignment horizontal="left" vertical="center"/>
    </xf>
    <xf numFmtId="3" fontId="4" fillId="5" borderId="9" xfId="1" applyNumberFormat="1" applyFont="1" applyFill="1" applyBorder="1" applyAlignment="1" applyProtection="1">
      <alignment horizontal="center" vertical="center"/>
      <protection locked="0"/>
    </xf>
    <xf numFmtId="164" fontId="20" fillId="12" borderId="9" xfId="1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vertical="center"/>
      <protection locked="0"/>
    </xf>
    <xf numFmtId="0" fontId="7" fillId="5" borderId="10" xfId="0" applyFont="1" applyFill="1" applyBorder="1" applyAlignment="1" applyProtection="1">
      <alignment vertical="center"/>
      <protection locked="0"/>
    </xf>
    <xf numFmtId="3" fontId="19" fillId="3" borderId="16" xfId="1" applyNumberFormat="1" applyFont="1" applyFill="1" applyBorder="1" applyAlignment="1" applyProtection="1">
      <alignment horizontal="center" vertical="center"/>
    </xf>
    <xf numFmtId="170" fontId="4" fillId="5" borderId="16" xfId="1" applyNumberFormat="1" applyFont="1" applyFill="1" applyBorder="1" applyAlignment="1" applyProtection="1">
      <alignment horizontal="center" vertical="center"/>
      <protection locked="0"/>
    </xf>
    <xf numFmtId="2" fontId="20" fillId="3" borderId="16" xfId="1" applyNumberFormat="1" applyFont="1" applyFill="1" applyBorder="1" applyAlignment="1" applyProtection="1">
      <alignment horizontal="center" vertical="center"/>
    </xf>
    <xf numFmtId="170" fontId="13" fillId="13" borderId="9" xfId="1" applyNumberFormat="1" applyFont="1" applyFill="1" applyBorder="1" applyAlignment="1" applyProtection="1">
      <alignment horizontal="center" vertical="center"/>
      <protection locked="0"/>
    </xf>
    <xf numFmtId="9" fontId="13" fillId="13" borderId="9" xfId="1" applyFont="1" applyFill="1" applyBorder="1" applyAlignment="1" applyProtection="1">
      <alignment horizontal="center" vertical="center"/>
      <protection locked="0"/>
    </xf>
    <xf numFmtId="164" fontId="6" fillId="12" borderId="9" xfId="1" applyNumberFormat="1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4" fillId="5" borderId="8" xfId="0" applyFont="1" applyFill="1" applyBorder="1" applyAlignment="1" applyProtection="1">
      <alignment horizontal="left" vertical="center"/>
      <protection locked="0"/>
    </xf>
    <xf numFmtId="0" fontId="11" fillId="6" borderId="8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left" vertical="center" wrapText="1"/>
    </xf>
    <xf numFmtId="0" fontId="3" fillId="10" borderId="1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9" fillId="11" borderId="3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 applyProtection="1">
      <alignment horizontal="left" vertical="center" wrapText="1"/>
      <protection locked="0"/>
    </xf>
    <xf numFmtId="0" fontId="4" fillId="3" borderId="14" xfId="1" applyNumberFormat="1" applyFont="1" applyFill="1" applyBorder="1" applyAlignment="1" applyProtection="1">
      <alignment horizontal="center" vertical="center"/>
    </xf>
    <xf numFmtId="0" fontId="4" fillId="3" borderId="15" xfId="1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4" fillId="5" borderId="8" xfId="0" applyFont="1" applyFill="1" applyBorder="1" applyAlignment="1" applyProtection="1">
      <alignment horizontal="right" vertical="center"/>
      <protection locked="0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4">
    <cellStyle name="Hiperligação" xfId="3" builtinId="8"/>
    <cellStyle name="Normal" xfId="0" builtinId="0"/>
    <cellStyle name="Percentagem" xfId="1" builtinId="5"/>
    <cellStyle name="Vírgula" xfId="2" builtinId="3"/>
  </cellStyles>
  <dxfs count="6">
    <dxf>
      <font>
        <color rgb="FFFF0000"/>
      </font>
      <fill>
        <patternFill>
          <fgColor theme="9" tint="0.59996337778862885"/>
        </patternFill>
      </fill>
    </dxf>
    <dxf>
      <font>
        <color rgb="FFFF0000"/>
      </font>
      <fill>
        <patternFill>
          <fgColor theme="9" tint="0.59996337778862885"/>
        </patternFill>
      </fill>
    </dxf>
    <dxf>
      <font>
        <color rgb="FFFF0000"/>
      </font>
      <fill>
        <patternFill>
          <fgColor theme="9" tint="0.59996337778862885"/>
        </patternFill>
      </fill>
    </dxf>
    <dxf>
      <font>
        <color rgb="FFFF0000"/>
      </font>
      <fill>
        <patternFill>
          <fgColor theme="9" tint="0.59996337778862885"/>
        </patternFill>
      </fill>
    </dxf>
    <dxf>
      <font>
        <color rgb="FFFF0000"/>
      </font>
      <fill>
        <patternFill>
          <fgColor theme="9" tint="0.59996337778862885"/>
        </patternFill>
      </fill>
    </dxf>
    <dxf>
      <font>
        <color rgb="FFFF0000"/>
      </font>
      <fill>
        <patternFill>
          <fgColor theme="9" tint="0.59996337778862885"/>
        </patternFill>
      </fill>
    </dxf>
  </dxfs>
  <tableStyles count="0" defaultTableStyle="TableStyleMedium2" defaultPivotStyle="PivotStyleLight16"/>
  <colors>
    <mruColors>
      <color rgb="FFDDD9C4"/>
      <color rgb="FFCAF727"/>
      <color rgb="FF009999"/>
      <color rgb="FFFFCC66"/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10</xdr:row>
      <xdr:rowOff>0</xdr:rowOff>
    </xdr:from>
    <xdr:to>
      <xdr:col>24</xdr:col>
      <xdr:colOff>3600000</xdr:colOff>
      <xdr:row>19</xdr:row>
      <xdr:rowOff>174895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B5EDB3-1026-4E55-A4B7-53A7C155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07400" y="2597150"/>
          <a:ext cx="3600000" cy="18322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Paulo Sousa Neto" id="{8D4FB93E-A239-4CBD-A7F1-C064D2E47CD0}" userId="José Paulo Sousa Neto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2-06-29T16:05:03.41" personId="{8D4FB93E-A239-4CBD-A7F1-C064D2E47CD0}" id="{1BFEC006-1BB9-4285-AEC8-781AE1700CA1}">
    <text>1) Numero de inscrições; 
ou em falta essa informação 
2) Colocar 15 formandos que é o que consta da candidatura.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gaep.gov.pt/upload/homepage/Noticias/LVCR/TAB_GRAUS_COMPLEXIDADE_FUNCIONAL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1E69-BABB-406D-98FB-405818CD7F8B}">
  <dimension ref="A1:AF221"/>
  <sheetViews>
    <sheetView topLeftCell="R1" workbookViewId="0">
      <selection activeCell="U9" sqref="U9"/>
    </sheetView>
  </sheetViews>
  <sheetFormatPr defaultColWidth="8.7265625" defaultRowHeight="14.5" x14ac:dyDescent="0.35"/>
  <cols>
    <col min="1" max="1" width="9.453125" style="2" customWidth="1"/>
    <col min="2" max="2" width="8.7265625" style="1"/>
    <col min="3" max="3" width="9.54296875" style="1" customWidth="1"/>
    <col min="4" max="4" width="8.7265625" style="1"/>
    <col min="5" max="5" width="8.7265625" style="2"/>
    <col min="6" max="8" width="8.7265625" style="1"/>
    <col min="9" max="9" width="10.1796875" style="1" customWidth="1"/>
    <col min="10" max="11" width="8.7265625" style="1"/>
    <col min="12" max="12" width="47.1796875" style="1" bestFit="1" customWidth="1"/>
    <col min="13" max="13" width="11.7265625" style="1" customWidth="1"/>
    <col min="14" max="14" width="5.81640625" style="7" bestFit="1" customWidth="1"/>
    <col min="15" max="15" width="13.7265625" style="1" customWidth="1"/>
    <col min="16" max="16" width="8.7265625" style="1"/>
    <col min="17" max="17" width="12.453125" style="1" bestFit="1" customWidth="1"/>
    <col min="18" max="20" width="8.7265625" style="1"/>
    <col min="21" max="21" width="49.453125" style="1" bestFit="1" customWidth="1"/>
    <col min="22" max="22" width="3" style="1" customWidth="1"/>
    <col min="23" max="23" width="22.54296875" style="1" customWidth="1"/>
    <col min="24" max="24" width="2.54296875" style="1" customWidth="1"/>
    <col min="25" max="25" width="54.54296875" style="1" customWidth="1"/>
    <col min="26" max="26" width="8.7265625" style="1"/>
    <col min="27" max="27" width="12.453125" style="1" customWidth="1"/>
    <col min="28" max="28" width="8.7265625" style="1"/>
    <col min="29" max="29" width="12.54296875" style="1" customWidth="1"/>
    <col min="30" max="30" width="8.7265625" style="1"/>
    <col min="31" max="31" width="15" style="1" customWidth="1"/>
    <col min="32" max="32" width="28.1796875" style="1" bestFit="1" customWidth="1"/>
    <col min="33" max="16384" width="8.7265625" style="1"/>
  </cols>
  <sheetData>
    <row r="1" spans="1:32" ht="20" x14ac:dyDescent="0.35">
      <c r="A1" s="5" t="s">
        <v>0</v>
      </c>
      <c r="C1" s="6" t="s">
        <v>1</v>
      </c>
      <c r="D1" s="6" t="s">
        <v>2</v>
      </c>
      <c r="E1" s="6" t="s">
        <v>3</v>
      </c>
      <c r="G1" s="5" t="s">
        <v>4</v>
      </c>
      <c r="H1" s="5" t="s">
        <v>5</v>
      </c>
      <c r="I1" s="5" t="s">
        <v>6</v>
      </c>
      <c r="J1" s="5" t="s">
        <v>3</v>
      </c>
      <c r="L1" s="5" t="s">
        <v>7</v>
      </c>
      <c r="M1" s="5" t="s">
        <v>8</v>
      </c>
      <c r="N1" s="1"/>
      <c r="O1" s="5" t="s">
        <v>9</v>
      </c>
      <c r="P1" s="5" t="s">
        <v>10</v>
      </c>
      <c r="Q1" s="5" t="s">
        <v>11</v>
      </c>
      <c r="S1" s="5" t="s">
        <v>12</v>
      </c>
      <c r="U1" s="21" t="s">
        <v>13</v>
      </c>
      <c r="W1" s="5" t="s">
        <v>14</v>
      </c>
      <c r="Y1" s="52" t="s">
        <v>15</v>
      </c>
      <c r="Z1" s="60" t="s">
        <v>16</v>
      </c>
      <c r="AA1" s="51" t="s">
        <v>17</v>
      </c>
      <c r="AC1" s="60" t="s">
        <v>18</v>
      </c>
      <c r="AD1" s="52" t="s">
        <v>19</v>
      </c>
      <c r="AF1" s="60" t="s">
        <v>20</v>
      </c>
    </row>
    <row r="2" spans="1:32" x14ac:dyDescent="0.35">
      <c r="A2" s="8">
        <v>0</v>
      </c>
      <c r="C2" s="4">
        <v>0</v>
      </c>
      <c r="D2" s="4">
        <v>1</v>
      </c>
      <c r="E2" s="68">
        <v>40</v>
      </c>
      <c r="G2" s="4">
        <v>1</v>
      </c>
      <c r="H2" s="4">
        <v>0</v>
      </c>
      <c r="I2" s="4">
        <v>5</v>
      </c>
      <c r="J2" s="8"/>
      <c r="L2" s="3"/>
      <c r="M2" s="9"/>
      <c r="N2" s="1"/>
      <c r="O2" s="9"/>
      <c r="P2" s="5"/>
      <c r="Q2" s="5"/>
      <c r="S2" s="3"/>
      <c r="U2" s="3"/>
      <c r="W2" s="3"/>
      <c r="Y2" s="100" t="s">
        <v>21</v>
      </c>
      <c r="Z2" s="62">
        <v>40</v>
      </c>
      <c r="AA2" s="63">
        <v>45</v>
      </c>
      <c r="AC2" s="61" t="s">
        <v>22</v>
      </c>
      <c r="AD2" s="66"/>
      <c r="AF2" s="61" t="s">
        <v>23</v>
      </c>
    </row>
    <row r="3" spans="1:32" ht="21.5" x14ac:dyDescent="0.35">
      <c r="A3" s="8">
        <v>1</v>
      </c>
      <c r="C3" s="4">
        <v>2</v>
      </c>
      <c r="D3" s="4">
        <v>3</v>
      </c>
      <c r="E3" s="68">
        <v>45</v>
      </c>
      <c r="G3" s="4">
        <v>2</v>
      </c>
      <c r="H3" s="4">
        <f>I2+1</f>
        <v>6</v>
      </c>
      <c r="I3" s="4">
        <f>H3+4</f>
        <v>10</v>
      </c>
      <c r="J3" s="8"/>
      <c r="L3" s="3" t="s">
        <v>24</v>
      </c>
      <c r="M3" s="9">
        <v>1</v>
      </c>
      <c r="N3" s="1"/>
      <c r="O3" s="3" t="s">
        <v>25</v>
      </c>
      <c r="P3" s="9"/>
      <c r="Q3" s="9"/>
      <c r="S3" s="3" t="s">
        <v>26</v>
      </c>
      <c r="U3" s="22" t="s">
        <v>27</v>
      </c>
      <c r="W3" s="3" t="s">
        <v>200</v>
      </c>
      <c r="Y3" s="100" t="s">
        <v>28</v>
      </c>
      <c r="Z3" s="62">
        <v>30</v>
      </c>
      <c r="AA3" s="63">
        <v>40</v>
      </c>
      <c r="AC3" s="61" t="s">
        <v>29</v>
      </c>
      <c r="AD3" s="63">
        <v>8.61</v>
      </c>
      <c r="AF3" s="61" t="s">
        <v>30</v>
      </c>
    </row>
    <row r="4" spans="1:32" ht="31.5" x14ac:dyDescent="0.35">
      <c r="A4" s="8">
        <v>2</v>
      </c>
      <c r="C4" s="4">
        <v>3</v>
      </c>
      <c r="D4" s="4">
        <v>5</v>
      </c>
      <c r="E4" s="68">
        <v>50</v>
      </c>
      <c r="G4" s="4">
        <v>3</v>
      </c>
      <c r="H4" s="4">
        <f t="shared" ref="H4:H12" si="0">I3+1</f>
        <v>11</v>
      </c>
      <c r="I4" s="4">
        <f t="shared" ref="I4:I12" si="1">H4+4</f>
        <v>15</v>
      </c>
      <c r="J4" s="8"/>
      <c r="L4" s="3" t="s">
        <v>31</v>
      </c>
      <c r="M4" s="9">
        <v>1</v>
      </c>
      <c r="N4" s="1"/>
      <c r="O4" s="3" t="s">
        <v>32</v>
      </c>
      <c r="P4" s="9"/>
      <c r="Q4" s="9"/>
      <c r="S4" s="3" t="s">
        <v>33</v>
      </c>
      <c r="U4" s="3" t="s">
        <v>34</v>
      </c>
      <c r="W4" s="3" t="s">
        <v>201</v>
      </c>
      <c r="Y4" s="100" t="s">
        <v>35</v>
      </c>
      <c r="Z4" s="62">
        <v>20</v>
      </c>
      <c r="AA4" s="63">
        <v>30</v>
      </c>
      <c r="AC4" s="61" t="s">
        <v>36</v>
      </c>
      <c r="AD4" s="63"/>
      <c r="AF4" s="61" t="s">
        <v>37</v>
      </c>
    </row>
    <row r="5" spans="1:32" x14ac:dyDescent="0.35">
      <c r="A5" s="8">
        <v>3</v>
      </c>
      <c r="C5" s="4">
        <v>6</v>
      </c>
      <c r="D5" s="4">
        <v>10</v>
      </c>
      <c r="E5" s="68">
        <v>60</v>
      </c>
      <c r="G5" s="4">
        <v>4</v>
      </c>
      <c r="H5" s="4">
        <f t="shared" si="0"/>
        <v>16</v>
      </c>
      <c r="I5" s="4">
        <f t="shared" si="1"/>
        <v>20</v>
      </c>
      <c r="J5" s="8"/>
      <c r="L5" s="3" t="s">
        <v>38</v>
      </c>
      <c r="M5" s="9">
        <v>0.8</v>
      </c>
      <c r="N5" s="1"/>
      <c r="O5" s="3" t="s">
        <v>39</v>
      </c>
      <c r="P5" s="9"/>
      <c r="Q5" s="9"/>
      <c r="S5" s="3" t="s">
        <v>40</v>
      </c>
      <c r="U5" s="3" t="s">
        <v>41</v>
      </c>
      <c r="W5" s="3" t="str">
        <f>W3&amp;"/"&amp;W4</f>
        <v>JovensSTEAM/Adultos</v>
      </c>
      <c r="Z5" s="53"/>
      <c r="AA5" s="53"/>
    </row>
    <row r="6" spans="1:32" x14ac:dyDescent="0.35">
      <c r="A6" s="8">
        <v>4</v>
      </c>
      <c r="C6" s="4">
        <v>11</v>
      </c>
      <c r="D6" s="4">
        <v>15</v>
      </c>
      <c r="E6" s="68">
        <v>70</v>
      </c>
      <c r="G6" s="4">
        <v>5</v>
      </c>
      <c r="H6" s="4">
        <f t="shared" si="0"/>
        <v>21</v>
      </c>
      <c r="I6" s="4">
        <f t="shared" si="1"/>
        <v>25</v>
      </c>
      <c r="J6" s="8"/>
      <c r="L6" s="3" t="s">
        <v>42</v>
      </c>
      <c r="M6" s="9">
        <v>1</v>
      </c>
      <c r="N6" s="1"/>
      <c r="O6" s="3"/>
      <c r="P6" s="9"/>
      <c r="Q6" s="9"/>
      <c r="S6" s="3"/>
      <c r="U6" s="3" t="s">
        <v>43</v>
      </c>
      <c r="W6" s="3"/>
    </row>
    <row r="7" spans="1:32" x14ac:dyDescent="0.35">
      <c r="A7" s="8">
        <v>5</v>
      </c>
      <c r="C7" s="4">
        <v>16</v>
      </c>
      <c r="D7" s="4">
        <v>20</v>
      </c>
      <c r="E7" s="68">
        <v>80</v>
      </c>
      <c r="G7" s="4">
        <v>6</v>
      </c>
      <c r="H7" s="4">
        <f t="shared" si="0"/>
        <v>26</v>
      </c>
      <c r="I7" s="4">
        <f t="shared" si="1"/>
        <v>30</v>
      </c>
      <c r="J7" s="8"/>
      <c r="L7" s="3" t="s">
        <v>44</v>
      </c>
      <c r="M7" s="9">
        <v>1</v>
      </c>
      <c r="N7" s="1"/>
      <c r="U7" s="3" t="s">
        <v>45</v>
      </c>
      <c r="Y7" s="101" t="s">
        <v>46</v>
      </c>
    </row>
    <row r="8" spans="1:32" x14ac:dyDescent="0.35">
      <c r="A8" s="8">
        <v>6</v>
      </c>
      <c r="C8" s="4">
        <v>21</v>
      </c>
      <c r="D8" s="4">
        <v>25</v>
      </c>
      <c r="E8" s="68">
        <v>90</v>
      </c>
      <c r="G8" s="4">
        <v>7</v>
      </c>
      <c r="H8" s="4">
        <f t="shared" si="0"/>
        <v>31</v>
      </c>
      <c r="I8" s="4">
        <f t="shared" si="1"/>
        <v>35</v>
      </c>
      <c r="J8" s="8"/>
      <c r="L8" s="3" t="s">
        <v>47</v>
      </c>
      <c r="M8" s="9">
        <v>0.8</v>
      </c>
      <c r="N8" s="1"/>
    </row>
    <row r="9" spans="1:32" x14ac:dyDescent="0.35">
      <c r="A9" s="8">
        <v>7</v>
      </c>
      <c r="C9" s="4">
        <v>26</v>
      </c>
      <c r="D9" s="4">
        <v>30</v>
      </c>
      <c r="E9" s="68">
        <v>100</v>
      </c>
      <c r="G9" s="4">
        <v>8</v>
      </c>
      <c r="H9" s="4">
        <f t="shared" si="0"/>
        <v>36</v>
      </c>
      <c r="I9" s="4">
        <f t="shared" si="1"/>
        <v>40</v>
      </c>
      <c r="J9" s="8"/>
      <c r="L9" s="3" t="s">
        <v>48</v>
      </c>
      <c r="M9" s="9">
        <v>1.2</v>
      </c>
      <c r="N9" s="1"/>
      <c r="U9" s="22" t="s">
        <v>49</v>
      </c>
    </row>
    <row r="10" spans="1:32" x14ac:dyDescent="0.35">
      <c r="A10" s="8">
        <v>8</v>
      </c>
      <c r="C10" s="4">
        <v>31</v>
      </c>
      <c r="D10" s="4">
        <v>60</v>
      </c>
      <c r="E10" s="68">
        <v>200</v>
      </c>
      <c r="G10" s="4">
        <v>9</v>
      </c>
      <c r="H10" s="4">
        <f t="shared" si="0"/>
        <v>41</v>
      </c>
      <c r="I10" s="4">
        <f t="shared" si="1"/>
        <v>45</v>
      </c>
      <c r="J10" s="8"/>
      <c r="L10" s="3" t="s">
        <v>50</v>
      </c>
      <c r="M10" s="9">
        <v>1.2</v>
      </c>
      <c r="N10" s="1"/>
      <c r="U10" s="3" t="s">
        <v>51</v>
      </c>
    </row>
    <row r="11" spans="1:32" x14ac:dyDescent="0.35">
      <c r="A11" s="8">
        <v>9</v>
      </c>
      <c r="C11" s="4"/>
      <c r="D11" s="4"/>
      <c r="E11" s="8"/>
      <c r="G11" s="4">
        <v>10</v>
      </c>
      <c r="H11" s="4">
        <f t="shared" si="0"/>
        <v>46</v>
      </c>
      <c r="I11" s="4">
        <f t="shared" si="1"/>
        <v>50</v>
      </c>
      <c r="J11" s="8"/>
      <c r="L11" s="3" t="s">
        <v>52</v>
      </c>
      <c r="M11" s="9">
        <v>0.8</v>
      </c>
      <c r="N11" s="1"/>
      <c r="U11" s="3" t="s">
        <v>53</v>
      </c>
    </row>
    <row r="12" spans="1:32" x14ac:dyDescent="0.35">
      <c r="A12" s="8">
        <v>10</v>
      </c>
      <c r="C12" s="4"/>
      <c r="D12" s="4"/>
      <c r="E12" s="8"/>
      <c r="G12" s="4">
        <v>11</v>
      </c>
      <c r="H12" s="4">
        <f t="shared" si="0"/>
        <v>51</v>
      </c>
      <c r="I12" s="4">
        <f t="shared" si="1"/>
        <v>55</v>
      </c>
      <c r="J12" s="8"/>
      <c r="L12" s="7"/>
      <c r="N12" s="1"/>
      <c r="U12" s="3" t="s">
        <v>54</v>
      </c>
    </row>
    <row r="13" spans="1:32" x14ac:dyDescent="0.35">
      <c r="A13" s="8">
        <v>11</v>
      </c>
      <c r="G13" s="4">
        <v>12</v>
      </c>
      <c r="H13" s="4">
        <f>I12+1</f>
        <v>56</v>
      </c>
      <c r="I13" s="4">
        <f>H13+4</f>
        <v>60</v>
      </c>
      <c r="J13" s="8"/>
      <c r="M13" s="7"/>
      <c r="N13" s="1"/>
      <c r="U13" s="3" t="s">
        <v>55</v>
      </c>
    </row>
    <row r="14" spans="1:32" x14ac:dyDescent="0.35">
      <c r="A14" s="8">
        <v>12</v>
      </c>
    </row>
    <row r="16" spans="1:32" x14ac:dyDescent="0.35">
      <c r="F16" s="68">
        <f>E48/27</f>
        <v>1.4814814814814814</v>
      </c>
    </row>
    <row r="17" spans="4:21" x14ac:dyDescent="0.35">
      <c r="D17" s="5" t="s">
        <v>56</v>
      </c>
      <c r="E17" s="6" t="s">
        <v>19</v>
      </c>
      <c r="M17" s="7"/>
      <c r="N17" s="1"/>
      <c r="U17" s="3"/>
    </row>
    <row r="18" spans="4:21" x14ac:dyDescent="0.35">
      <c r="D18" s="4">
        <v>1</v>
      </c>
      <c r="E18" s="68">
        <f>D18*$F$16</f>
        <v>1.4814814814814814</v>
      </c>
      <c r="M18" s="7"/>
      <c r="N18" s="1"/>
      <c r="U18" s="3"/>
    </row>
    <row r="19" spans="4:21" x14ac:dyDescent="0.35">
      <c r="D19" s="4">
        <v>2</v>
      </c>
      <c r="E19" s="68">
        <f>D19*$F$16</f>
        <v>2.9629629629629628</v>
      </c>
      <c r="H19" s="1" t="s">
        <v>57</v>
      </c>
      <c r="I19" s="1">
        <v>15</v>
      </c>
      <c r="J19" s="1">
        <v>30</v>
      </c>
      <c r="K19" s="71">
        <f>E36</f>
        <v>22.222222222222221</v>
      </c>
      <c r="L19" s="71">
        <f>J19+K19</f>
        <v>52.222222222222221</v>
      </c>
      <c r="M19" s="72"/>
      <c r="N19" s="1"/>
      <c r="U19" s="3"/>
    </row>
    <row r="20" spans="4:21" x14ac:dyDescent="0.35">
      <c r="D20" s="4">
        <v>3</v>
      </c>
      <c r="E20" s="68">
        <f>D20*$F$16</f>
        <v>4.4444444444444446</v>
      </c>
      <c r="H20" s="1" t="s">
        <v>58</v>
      </c>
      <c r="I20" s="1">
        <v>7</v>
      </c>
      <c r="J20" s="1">
        <v>30</v>
      </c>
      <c r="K20" s="1">
        <v>10.37</v>
      </c>
      <c r="L20" s="71">
        <f t="shared" ref="L20:L25" si="2">J20+K20</f>
        <v>40.369999999999997</v>
      </c>
      <c r="M20" s="7"/>
      <c r="N20" s="1"/>
    </row>
    <row r="21" spans="4:21" x14ac:dyDescent="0.35">
      <c r="D21" s="4">
        <v>3.5</v>
      </c>
      <c r="E21" s="68">
        <f>D21*$F$16</f>
        <v>5.1851851851851851</v>
      </c>
      <c r="H21" s="1" t="s">
        <v>59</v>
      </c>
      <c r="I21" s="1">
        <v>7</v>
      </c>
      <c r="J21" s="1">
        <v>30</v>
      </c>
      <c r="K21" s="1">
        <v>10.37</v>
      </c>
      <c r="L21" s="71">
        <f t="shared" si="2"/>
        <v>40.369999999999997</v>
      </c>
      <c r="M21" s="7"/>
      <c r="N21" s="1"/>
    </row>
    <row r="22" spans="4:21" x14ac:dyDescent="0.35">
      <c r="D22" s="4">
        <v>4</v>
      </c>
      <c r="E22" s="68">
        <f>D22*$F$16</f>
        <v>5.9259259259259256</v>
      </c>
      <c r="H22" s="1" t="s">
        <v>60</v>
      </c>
      <c r="I22" s="1">
        <v>7</v>
      </c>
      <c r="J22" s="1">
        <v>30</v>
      </c>
      <c r="K22" s="1">
        <v>10.37</v>
      </c>
      <c r="L22" s="71">
        <f t="shared" si="2"/>
        <v>40.369999999999997</v>
      </c>
      <c r="M22" s="7"/>
      <c r="N22" s="1"/>
    </row>
    <row r="23" spans="4:21" x14ac:dyDescent="0.35">
      <c r="D23" s="4">
        <v>4.5</v>
      </c>
      <c r="E23" s="68">
        <f t="shared" ref="E23:E47" si="3">D23*$F$16</f>
        <v>6.6666666666666661</v>
      </c>
      <c r="H23" s="1" t="s">
        <v>61</v>
      </c>
      <c r="I23" s="1">
        <v>4</v>
      </c>
      <c r="J23" s="1">
        <v>30</v>
      </c>
      <c r="K23" s="1">
        <v>5.93</v>
      </c>
      <c r="L23" s="71">
        <f t="shared" si="2"/>
        <v>35.93</v>
      </c>
      <c r="M23" s="7"/>
      <c r="N23" s="1"/>
    </row>
    <row r="24" spans="4:21" x14ac:dyDescent="0.35">
      <c r="D24" s="4">
        <v>5</v>
      </c>
      <c r="E24" s="68">
        <f t="shared" si="3"/>
        <v>7.4074074074074066</v>
      </c>
      <c r="H24" s="1" t="s">
        <v>62</v>
      </c>
      <c r="I24" s="1">
        <v>3</v>
      </c>
      <c r="J24" s="1">
        <v>30</v>
      </c>
      <c r="K24" s="1">
        <v>4.9400000000000004</v>
      </c>
      <c r="L24" s="71">
        <f t="shared" si="2"/>
        <v>34.94</v>
      </c>
      <c r="M24" s="7"/>
      <c r="N24" s="1"/>
    </row>
    <row r="25" spans="4:21" x14ac:dyDescent="0.35">
      <c r="D25" s="4">
        <v>6</v>
      </c>
      <c r="E25" s="68">
        <f t="shared" si="3"/>
        <v>8.8888888888888893</v>
      </c>
      <c r="H25" s="1" t="s">
        <v>63</v>
      </c>
      <c r="I25" s="1">
        <v>4.5</v>
      </c>
      <c r="J25" s="1">
        <v>30</v>
      </c>
      <c r="K25" s="1">
        <v>7.41</v>
      </c>
      <c r="L25" s="71">
        <f t="shared" si="2"/>
        <v>37.409999999999997</v>
      </c>
      <c r="M25" s="7"/>
      <c r="N25" s="1"/>
    </row>
    <row r="26" spans="4:21" x14ac:dyDescent="0.35">
      <c r="D26" s="4">
        <v>7</v>
      </c>
      <c r="E26" s="68">
        <f t="shared" si="3"/>
        <v>10.37037037037037</v>
      </c>
      <c r="L26" s="71">
        <f>SUM(L19:L25)</f>
        <v>281.61222222222221</v>
      </c>
      <c r="M26" s="7"/>
      <c r="N26" s="1"/>
    </row>
    <row r="27" spans="4:21" x14ac:dyDescent="0.35">
      <c r="D27" s="4">
        <v>7.5</v>
      </c>
      <c r="E27" s="68">
        <f t="shared" si="3"/>
        <v>11.111111111111111</v>
      </c>
      <c r="L27" s="1">
        <v>10</v>
      </c>
      <c r="M27" s="7"/>
      <c r="N27" s="1"/>
    </row>
    <row r="28" spans="4:21" x14ac:dyDescent="0.35">
      <c r="D28" s="4">
        <v>8</v>
      </c>
      <c r="E28" s="68">
        <f t="shared" si="3"/>
        <v>11.851851851851851</v>
      </c>
      <c r="L28" s="71">
        <f>L26+L27</f>
        <v>291.61222222222221</v>
      </c>
      <c r="M28" s="7"/>
      <c r="N28" s="1"/>
    </row>
    <row r="29" spans="4:21" x14ac:dyDescent="0.35">
      <c r="D29" s="4">
        <v>9</v>
      </c>
      <c r="E29" s="68">
        <f t="shared" si="3"/>
        <v>13.333333333333332</v>
      </c>
      <c r="M29" s="7"/>
      <c r="N29" s="1"/>
    </row>
    <row r="30" spans="4:21" x14ac:dyDescent="0.35">
      <c r="D30" s="4">
        <v>10</v>
      </c>
      <c r="E30" s="68">
        <f t="shared" si="3"/>
        <v>14.814814814814813</v>
      </c>
      <c r="I30" s="1" t="s">
        <v>64</v>
      </c>
      <c r="J30" s="1" t="s">
        <v>65</v>
      </c>
      <c r="M30" s="7"/>
      <c r="N30" s="1"/>
    </row>
    <row r="31" spans="4:21" x14ac:dyDescent="0.35">
      <c r="D31" s="4">
        <v>11</v>
      </c>
      <c r="E31" s="68">
        <f t="shared" si="3"/>
        <v>16.296296296296294</v>
      </c>
      <c r="H31" s="1">
        <v>20</v>
      </c>
      <c r="L31" s="71"/>
      <c r="M31" s="7"/>
      <c r="N31" s="1"/>
    </row>
    <row r="32" spans="4:21" x14ac:dyDescent="0.35">
      <c r="D32" s="4">
        <v>12</v>
      </c>
      <c r="E32" s="68">
        <f t="shared" si="3"/>
        <v>17.777777777777779</v>
      </c>
      <c r="H32" s="1">
        <v>10</v>
      </c>
      <c r="M32" s="7"/>
      <c r="N32" s="1"/>
    </row>
    <row r="33" spans="4:14" x14ac:dyDescent="0.35">
      <c r="D33" s="4">
        <v>13</v>
      </c>
      <c r="E33" s="68">
        <f t="shared" si="3"/>
        <v>19.25925925925926</v>
      </c>
      <c r="H33" s="1">
        <f>H31+H32</f>
        <v>30</v>
      </c>
      <c r="M33" s="7"/>
      <c r="N33" s="1"/>
    </row>
    <row r="34" spans="4:14" x14ac:dyDescent="0.35">
      <c r="D34" s="4">
        <v>13.5</v>
      </c>
      <c r="E34" s="68">
        <f t="shared" si="3"/>
        <v>20</v>
      </c>
      <c r="G34" s="1" t="s">
        <v>66</v>
      </c>
      <c r="H34" s="1">
        <v>16.3</v>
      </c>
      <c r="I34" s="1">
        <f>H34+H33</f>
        <v>46.3</v>
      </c>
      <c r="M34" s="7"/>
      <c r="N34" s="1"/>
    </row>
    <row r="35" spans="4:14" x14ac:dyDescent="0.35">
      <c r="D35" s="4">
        <v>14</v>
      </c>
      <c r="E35" s="68">
        <f t="shared" si="3"/>
        <v>20.74074074074074</v>
      </c>
      <c r="G35" s="1" t="s">
        <v>67</v>
      </c>
      <c r="H35" s="1">
        <v>60</v>
      </c>
      <c r="I35" s="1">
        <f>H35+H33</f>
        <v>90</v>
      </c>
      <c r="M35" s="7"/>
      <c r="N35" s="1"/>
    </row>
    <row r="36" spans="4:14" x14ac:dyDescent="0.35">
      <c r="D36" s="4">
        <v>15</v>
      </c>
      <c r="E36" s="68">
        <f t="shared" si="3"/>
        <v>22.222222222222221</v>
      </c>
      <c r="H36" s="1" t="s">
        <v>68</v>
      </c>
      <c r="K36" s="1" t="s">
        <v>66</v>
      </c>
      <c r="M36" s="7"/>
      <c r="N36" s="1"/>
    </row>
    <row r="37" spans="4:14" x14ac:dyDescent="0.35">
      <c r="D37" s="4">
        <v>16</v>
      </c>
      <c r="E37" s="68">
        <f t="shared" si="3"/>
        <v>23.703703703703702</v>
      </c>
      <c r="H37" s="1" t="s">
        <v>57</v>
      </c>
      <c r="I37" s="1">
        <v>15</v>
      </c>
      <c r="J37" s="1">
        <v>30</v>
      </c>
      <c r="K37" s="71">
        <v>66.67</v>
      </c>
      <c r="L37" s="71">
        <f>J37+K37</f>
        <v>96.67</v>
      </c>
      <c r="M37" s="72"/>
      <c r="N37" s="1"/>
    </row>
    <row r="38" spans="4:14" x14ac:dyDescent="0.35">
      <c r="D38" s="4">
        <v>17</v>
      </c>
      <c r="E38" s="68">
        <f t="shared" si="3"/>
        <v>25.185185185185183</v>
      </c>
      <c r="H38" s="1" t="s">
        <v>58</v>
      </c>
      <c r="I38" s="1">
        <v>7</v>
      </c>
      <c r="J38" s="1">
        <v>30</v>
      </c>
      <c r="K38" s="71">
        <f>K37</f>
        <v>66.67</v>
      </c>
      <c r="L38" s="71">
        <f t="shared" ref="L38:L42" si="4">J38+K38</f>
        <v>96.67</v>
      </c>
      <c r="M38" s="7"/>
      <c r="N38" s="1"/>
    </row>
    <row r="39" spans="4:14" x14ac:dyDescent="0.35">
      <c r="D39" s="4">
        <v>18</v>
      </c>
      <c r="E39" s="68">
        <f t="shared" si="3"/>
        <v>26.666666666666664</v>
      </c>
      <c r="H39" s="1" t="s">
        <v>59</v>
      </c>
      <c r="I39" s="1">
        <v>7</v>
      </c>
      <c r="J39" s="1">
        <v>30</v>
      </c>
      <c r="K39" s="71">
        <f t="shared" ref="K39:K42" si="5">K38</f>
        <v>66.67</v>
      </c>
      <c r="L39" s="71">
        <f t="shared" si="4"/>
        <v>96.67</v>
      </c>
      <c r="M39" s="7"/>
      <c r="N39" s="1"/>
    </row>
    <row r="40" spans="4:14" x14ac:dyDescent="0.35">
      <c r="D40" s="4">
        <v>19</v>
      </c>
      <c r="E40" s="68">
        <f t="shared" si="3"/>
        <v>28.148148148148145</v>
      </c>
      <c r="H40" s="1" t="s">
        <v>60</v>
      </c>
      <c r="I40" s="1">
        <v>7</v>
      </c>
      <c r="J40" s="1">
        <v>30</v>
      </c>
      <c r="K40" s="71">
        <f t="shared" si="5"/>
        <v>66.67</v>
      </c>
      <c r="L40" s="71">
        <f t="shared" si="4"/>
        <v>96.67</v>
      </c>
      <c r="M40" s="7"/>
      <c r="N40" s="1"/>
    </row>
    <row r="41" spans="4:14" x14ac:dyDescent="0.35">
      <c r="D41" s="4">
        <v>20</v>
      </c>
      <c r="E41" s="68">
        <f t="shared" si="3"/>
        <v>29.629629629629626</v>
      </c>
      <c r="H41" s="1" t="s">
        <v>61</v>
      </c>
      <c r="I41" s="1">
        <v>4</v>
      </c>
      <c r="J41" s="1">
        <v>30</v>
      </c>
      <c r="K41" s="71">
        <f t="shared" si="5"/>
        <v>66.67</v>
      </c>
      <c r="L41" s="71">
        <f t="shared" si="4"/>
        <v>96.67</v>
      </c>
      <c r="M41" s="7"/>
      <c r="N41" s="1"/>
    </row>
    <row r="42" spans="4:14" x14ac:dyDescent="0.35">
      <c r="D42" s="4">
        <v>21</v>
      </c>
      <c r="E42" s="68">
        <f t="shared" si="3"/>
        <v>31.111111111111111</v>
      </c>
      <c r="H42" s="1" t="s">
        <v>62</v>
      </c>
      <c r="I42" s="1">
        <v>3</v>
      </c>
      <c r="J42" s="1">
        <v>30</v>
      </c>
      <c r="K42" s="71">
        <f t="shared" si="5"/>
        <v>66.67</v>
      </c>
      <c r="L42" s="71">
        <f t="shared" si="4"/>
        <v>96.67</v>
      </c>
      <c r="M42" s="7"/>
      <c r="N42" s="1"/>
    </row>
    <row r="43" spans="4:14" x14ac:dyDescent="0.35">
      <c r="D43" s="4">
        <v>22</v>
      </c>
      <c r="E43" s="68">
        <f t="shared" si="3"/>
        <v>32.592592592592588</v>
      </c>
      <c r="L43" s="71"/>
      <c r="M43" s="7"/>
      <c r="N43" s="1"/>
    </row>
    <row r="44" spans="4:14" x14ac:dyDescent="0.35">
      <c r="D44" s="4">
        <v>23</v>
      </c>
      <c r="E44" s="68">
        <f t="shared" si="3"/>
        <v>34.074074074074069</v>
      </c>
      <c r="L44" s="71">
        <f>SUM(L37:L43)</f>
        <v>580.02</v>
      </c>
      <c r="M44" s="7"/>
      <c r="N44" s="1"/>
    </row>
    <row r="45" spans="4:14" x14ac:dyDescent="0.35">
      <c r="D45" s="4">
        <v>24</v>
      </c>
      <c r="E45" s="68">
        <f t="shared" si="3"/>
        <v>35.555555555555557</v>
      </c>
      <c r="L45" s="1">
        <v>10</v>
      </c>
      <c r="M45" s="7"/>
      <c r="N45" s="1"/>
    </row>
    <row r="46" spans="4:14" x14ac:dyDescent="0.35">
      <c r="D46" s="4">
        <v>25</v>
      </c>
      <c r="E46" s="68">
        <f t="shared" si="3"/>
        <v>37.037037037037038</v>
      </c>
      <c r="H46" s="1" t="s">
        <v>65</v>
      </c>
      <c r="L46" s="71">
        <f>L44+L45</f>
        <v>590.02</v>
      </c>
      <c r="M46" s="7"/>
      <c r="N46" s="1"/>
    </row>
    <row r="47" spans="4:14" x14ac:dyDescent="0.35">
      <c r="D47" s="4">
        <v>26</v>
      </c>
      <c r="E47" s="68">
        <f t="shared" si="3"/>
        <v>38.518518518518519</v>
      </c>
      <c r="H47" s="1" t="s">
        <v>69</v>
      </c>
      <c r="I47" s="1" t="s">
        <v>70</v>
      </c>
      <c r="J47" s="1" t="s">
        <v>71</v>
      </c>
      <c r="M47" s="7"/>
      <c r="N47" s="1"/>
    </row>
    <row r="48" spans="4:14" x14ac:dyDescent="0.35">
      <c r="D48" s="4">
        <v>27</v>
      </c>
      <c r="E48" s="68">
        <v>40</v>
      </c>
      <c r="H48" s="73">
        <v>0</v>
      </c>
      <c r="I48" s="73">
        <v>1</v>
      </c>
      <c r="J48" s="73">
        <v>40</v>
      </c>
      <c r="L48" s="1">
        <v>2200</v>
      </c>
      <c r="M48" s="7" t="s">
        <v>72</v>
      </c>
      <c r="N48" s="1"/>
    </row>
    <row r="49" spans="4:14" x14ac:dyDescent="0.35">
      <c r="D49" s="4">
        <v>28</v>
      </c>
      <c r="E49" s="68">
        <f t="shared" ref="E49:E81" si="6">D49*$F$16</f>
        <v>41.481481481481481</v>
      </c>
      <c r="H49" s="1">
        <v>2</v>
      </c>
      <c r="I49" s="1">
        <v>3</v>
      </c>
      <c r="J49" s="1">
        <v>45</v>
      </c>
      <c r="L49" s="1">
        <f>L48/25</f>
        <v>88</v>
      </c>
      <c r="M49" s="7"/>
      <c r="N49" s="1"/>
    </row>
    <row r="50" spans="4:14" x14ac:dyDescent="0.35">
      <c r="D50" s="4">
        <v>29</v>
      </c>
      <c r="E50" s="68">
        <f t="shared" si="6"/>
        <v>42.962962962962962</v>
      </c>
      <c r="H50" s="1">
        <v>3</v>
      </c>
      <c r="I50" s="1">
        <v>5</v>
      </c>
      <c r="J50" s="1">
        <v>50</v>
      </c>
      <c r="L50" s="71">
        <f>L46+L49</f>
        <v>678.02</v>
      </c>
      <c r="M50" s="7"/>
      <c r="N50" s="1"/>
    </row>
    <row r="51" spans="4:14" x14ac:dyDescent="0.35">
      <c r="D51" s="4">
        <v>30</v>
      </c>
      <c r="E51" s="68">
        <f t="shared" si="6"/>
        <v>44.444444444444443</v>
      </c>
      <c r="H51" s="1">
        <v>6</v>
      </c>
      <c r="I51" s="1">
        <v>10</v>
      </c>
      <c r="J51" s="1">
        <v>60</v>
      </c>
      <c r="L51" s="71"/>
      <c r="M51" s="7"/>
      <c r="N51" s="1"/>
    </row>
    <row r="52" spans="4:14" x14ac:dyDescent="0.35">
      <c r="D52" s="4">
        <v>31</v>
      </c>
      <c r="E52" s="68">
        <f t="shared" si="6"/>
        <v>45.925925925925924</v>
      </c>
      <c r="H52" s="1">
        <f>I51+1</f>
        <v>11</v>
      </c>
      <c r="I52" s="1">
        <v>15</v>
      </c>
      <c r="J52" s="1">
        <v>70</v>
      </c>
      <c r="M52" s="7"/>
      <c r="N52" s="1"/>
    </row>
    <row r="53" spans="4:14" x14ac:dyDescent="0.35">
      <c r="D53" s="4">
        <v>32</v>
      </c>
      <c r="E53" s="68">
        <f t="shared" si="6"/>
        <v>47.407407407407405</v>
      </c>
      <c r="H53" s="1">
        <f>I52+1</f>
        <v>16</v>
      </c>
      <c r="I53" s="1">
        <v>20</v>
      </c>
      <c r="J53" s="1">
        <v>80</v>
      </c>
      <c r="M53" s="7"/>
      <c r="N53" s="1"/>
    </row>
    <row r="54" spans="4:14" x14ac:dyDescent="0.35">
      <c r="D54" s="4">
        <v>33</v>
      </c>
      <c r="E54" s="68">
        <f t="shared" si="6"/>
        <v>48.888888888888886</v>
      </c>
      <c r="H54" s="1">
        <f>I53+1</f>
        <v>21</v>
      </c>
      <c r="I54" s="1">
        <v>25</v>
      </c>
      <c r="J54" s="1">
        <v>90</v>
      </c>
      <c r="M54" s="7"/>
      <c r="N54" s="1"/>
    </row>
    <row r="55" spans="4:14" x14ac:dyDescent="0.35">
      <c r="D55" s="4">
        <v>34</v>
      </c>
      <c r="E55" s="68">
        <f t="shared" si="6"/>
        <v>50.370370370370367</v>
      </c>
      <c r="H55" s="1">
        <f>I54+1</f>
        <v>26</v>
      </c>
      <c r="I55" s="1">
        <v>30</v>
      </c>
      <c r="J55" s="1">
        <v>100</v>
      </c>
      <c r="M55" s="7"/>
      <c r="N55" s="1"/>
    </row>
    <row r="56" spans="4:14" x14ac:dyDescent="0.35">
      <c r="D56" s="4">
        <v>35</v>
      </c>
      <c r="E56" s="68">
        <f t="shared" si="6"/>
        <v>51.851851851851848</v>
      </c>
      <c r="H56" s="1">
        <f>I55+1</f>
        <v>31</v>
      </c>
      <c r="I56" s="1">
        <v>60</v>
      </c>
      <c r="J56" s="1">
        <v>200</v>
      </c>
      <c r="M56" s="7"/>
      <c r="N56" s="1"/>
    </row>
    <row r="57" spans="4:14" x14ac:dyDescent="0.35">
      <c r="D57" s="4">
        <v>36</v>
      </c>
      <c r="E57" s="68">
        <f t="shared" si="6"/>
        <v>53.333333333333329</v>
      </c>
      <c r="M57" s="7"/>
      <c r="N57" s="1"/>
    </row>
    <row r="58" spans="4:14" x14ac:dyDescent="0.35">
      <c r="D58" s="4">
        <v>37</v>
      </c>
      <c r="E58" s="68">
        <f t="shared" si="6"/>
        <v>54.81481481481481</v>
      </c>
      <c r="M58" s="7"/>
      <c r="N58" s="1"/>
    </row>
    <row r="59" spans="4:14" x14ac:dyDescent="0.35">
      <c r="D59" s="4">
        <v>38</v>
      </c>
      <c r="E59" s="68">
        <f t="shared" si="6"/>
        <v>56.296296296296291</v>
      </c>
      <c r="M59" s="7"/>
      <c r="N59" s="1"/>
    </row>
    <row r="60" spans="4:14" x14ac:dyDescent="0.35">
      <c r="D60" s="4">
        <v>39</v>
      </c>
      <c r="E60" s="68">
        <f t="shared" si="6"/>
        <v>57.777777777777771</v>
      </c>
      <c r="M60" s="7"/>
      <c r="N60" s="1"/>
    </row>
    <row r="61" spans="4:14" x14ac:dyDescent="0.35">
      <c r="D61" s="4">
        <v>40</v>
      </c>
      <c r="E61" s="68">
        <f t="shared" si="6"/>
        <v>59.259259259259252</v>
      </c>
      <c r="M61" s="7"/>
      <c r="N61" s="1"/>
    </row>
    <row r="62" spans="4:14" x14ac:dyDescent="0.35">
      <c r="D62" s="4">
        <v>41</v>
      </c>
      <c r="E62" s="68">
        <f t="shared" si="6"/>
        <v>60.74074074074074</v>
      </c>
      <c r="M62" s="7"/>
      <c r="N62" s="1"/>
    </row>
    <row r="63" spans="4:14" x14ac:dyDescent="0.35">
      <c r="D63" s="4">
        <v>42</v>
      </c>
      <c r="E63" s="68">
        <f t="shared" si="6"/>
        <v>62.222222222222221</v>
      </c>
      <c r="M63" s="7"/>
      <c r="N63" s="1"/>
    </row>
    <row r="64" spans="4:14" x14ac:dyDescent="0.35">
      <c r="D64" s="4">
        <v>43</v>
      </c>
      <c r="E64" s="68">
        <f t="shared" si="6"/>
        <v>63.703703703703702</v>
      </c>
      <c r="M64" s="7"/>
      <c r="N64" s="1"/>
    </row>
    <row r="65" spans="4:14" x14ac:dyDescent="0.35">
      <c r="D65" s="4">
        <v>44</v>
      </c>
      <c r="E65" s="68">
        <f t="shared" si="6"/>
        <v>65.185185185185176</v>
      </c>
      <c r="M65" s="7"/>
      <c r="N65" s="1"/>
    </row>
    <row r="66" spans="4:14" x14ac:dyDescent="0.35">
      <c r="D66" s="4">
        <v>45</v>
      </c>
      <c r="E66" s="68">
        <f t="shared" si="6"/>
        <v>66.666666666666657</v>
      </c>
      <c r="M66" s="7"/>
      <c r="N66" s="1"/>
    </row>
    <row r="67" spans="4:14" x14ac:dyDescent="0.35">
      <c r="D67" s="4">
        <v>46</v>
      </c>
      <c r="E67" s="68">
        <f t="shared" si="6"/>
        <v>68.148148148148138</v>
      </c>
      <c r="M67" s="7"/>
      <c r="N67" s="1"/>
    </row>
    <row r="68" spans="4:14" x14ac:dyDescent="0.35">
      <c r="D68" s="4">
        <v>47</v>
      </c>
      <c r="E68" s="68">
        <f t="shared" si="6"/>
        <v>69.629629629629619</v>
      </c>
      <c r="M68" s="7"/>
      <c r="N68" s="1"/>
    </row>
    <row r="69" spans="4:14" x14ac:dyDescent="0.35">
      <c r="D69" s="4">
        <v>48</v>
      </c>
      <c r="E69" s="68">
        <f t="shared" si="6"/>
        <v>71.111111111111114</v>
      </c>
      <c r="M69" s="7"/>
      <c r="N69" s="1"/>
    </row>
    <row r="70" spans="4:14" x14ac:dyDescent="0.35">
      <c r="D70" s="4">
        <v>49</v>
      </c>
      <c r="E70" s="68">
        <f t="shared" si="6"/>
        <v>72.592592592592595</v>
      </c>
      <c r="M70" s="7"/>
      <c r="N70" s="1"/>
    </row>
    <row r="71" spans="4:14" x14ac:dyDescent="0.35">
      <c r="D71" s="4">
        <v>50</v>
      </c>
      <c r="E71" s="68">
        <f t="shared" si="6"/>
        <v>74.074074074074076</v>
      </c>
      <c r="M71" s="7"/>
      <c r="N71" s="1"/>
    </row>
    <row r="72" spans="4:14" x14ac:dyDescent="0.35">
      <c r="D72" s="4">
        <v>51</v>
      </c>
      <c r="E72" s="68">
        <f t="shared" si="6"/>
        <v>75.555555555555557</v>
      </c>
      <c r="M72" s="7"/>
      <c r="N72" s="1"/>
    </row>
    <row r="73" spans="4:14" x14ac:dyDescent="0.35">
      <c r="D73" s="4">
        <v>52</v>
      </c>
      <c r="E73" s="68">
        <f t="shared" si="6"/>
        <v>77.037037037037038</v>
      </c>
      <c r="M73" s="7"/>
      <c r="N73" s="1"/>
    </row>
    <row r="74" spans="4:14" x14ac:dyDescent="0.35">
      <c r="D74" s="4">
        <v>53</v>
      </c>
      <c r="E74" s="68">
        <f t="shared" si="6"/>
        <v>78.518518518518519</v>
      </c>
      <c r="M74" s="7"/>
      <c r="N74" s="1"/>
    </row>
    <row r="75" spans="4:14" x14ac:dyDescent="0.35">
      <c r="D75" s="4">
        <v>54</v>
      </c>
      <c r="E75" s="68">
        <f t="shared" si="6"/>
        <v>80</v>
      </c>
      <c r="M75" s="7"/>
      <c r="N75" s="1"/>
    </row>
    <row r="76" spans="4:14" x14ac:dyDescent="0.35">
      <c r="D76" s="4">
        <v>55</v>
      </c>
      <c r="E76" s="68">
        <f t="shared" si="6"/>
        <v>81.481481481481481</v>
      </c>
      <c r="M76" s="7"/>
      <c r="N76" s="1"/>
    </row>
    <row r="77" spans="4:14" x14ac:dyDescent="0.35">
      <c r="D77" s="4">
        <v>56</v>
      </c>
      <c r="E77" s="68">
        <f t="shared" si="6"/>
        <v>82.962962962962962</v>
      </c>
      <c r="M77" s="7"/>
      <c r="N77" s="1"/>
    </row>
    <row r="78" spans="4:14" x14ac:dyDescent="0.35">
      <c r="D78" s="4">
        <v>57</v>
      </c>
      <c r="E78" s="68">
        <f t="shared" si="6"/>
        <v>84.444444444444443</v>
      </c>
      <c r="M78" s="7"/>
      <c r="N78" s="1"/>
    </row>
    <row r="79" spans="4:14" x14ac:dyDescent="0.35">
      <c r="D79" s="4">
        <v>58</v>
      </c>
      <c r="E79" s="68">
        <f t="shared" si="6"/>
        <v>85.925925925925924</v>
      </c>
      <c r="M79" s="7"/>
      <c r="N79" s="1"/>
    </row>
    <row r="80" spans="4:14" x14ac:dyDescent="0.35">
      <c r="D80" s="4">
        <v>59</v>
      </c>
      <c r="E80" s="68">
        <f t="shared" si="6"/>
        <v>87.407407407407405</v>
      </c>
      <c r="M80" s="7"/>
      <c r="N80" s="1"/>
    </row>
    <row r="81" spans="4:14" x14ac:dyDescent="0.35">
      <c r="D81" s="4">
        <v>60</v>
      </c>
      <c r="E81" s="68">
        <f t="shared" si="6"/>
        <v>88.888888888888886</v>
      </c>
      <c r="M81" s="7"/>
      <c r="N81" s="1"/>
    </row>
    <row r="82" spans="4:14" x14ac:dyDescent="0.35">
      <c r="D82" s="4">
        <v>61</v>
      </c>
      <c r="E82" s="68">
        <f t="shared" ref="E82:E124" si="7">D82*$F$16</f>
        <v>90.370370370370367</v>
      </c>
      <c r="M82" s="7"/>
      <c r="N82" s="1"/>
    </row>
    <row r="83" spans="4:14" x14ac:dyDescent="0.35">
      <c r="D83" s="4">
        <v>62</v>
      </c>
      <c r="E83" s="68">
        <f t="shared" si="7"/>
        <v>91.851851851851848</v>
      </c>
      <c r="M83" s="7"/>
      <c r="N83" s="1"/>
    </row>
    <row r="84" spans="4:14" x14ac:dyDescent="0.35">
      <c r="D84" s="4">
        <v>63</v>
      </c>
      <c r="E84" s="68">
        <f t="shared" si="7"/>
        <v>93.333333333333329</v>
      </c>
      <c r="M84" s="7"/>
      <c r="N84" s="1"/>
    </row>
    <row r="85" spans="4:14" x14ac:dyDescent="0.35">
      <c r="D85" s="4">
        <v>64</v>
      </c>
      <c r="E85" s="68">
        <f t="shared" si="7"/>
        <v>94.81481481481481</v>
      </c>
      <c r="M85" s="7"/>
      <c r="N85" s="1"/>
    </row>
    <row r="86" spans="4:14" x14ac:dyDescent="0.35">
      <c r="D86" s="4">
        <v>65</v>
      </c>
      <c r="E86" s="68">
        <f t="shared" si="7"/>
        <v>96.296296296296291</v>
      </c>
      <c r="M86" s="7"/>
      <c r="N86" s="1"/>
    </row>
    <row r="87" spans="4:14" x14ac:dyDescent="0.35">
      <c r="D87" s="4">
        <v>66</v>
      </c>
      <c r="E87" s="68">
        <f t="shared" si="7"/>
        <v>97.777777777777771</v>
      </c>
      <c r="M87" s="7"/>
      <c r="N87" s="1"/>
    </row>
    <row r="88" spans="4:14" x14ac:dyDescent="0.35">
      <c r="D88" s="4">
        <v>67</v>
      </c>
      <c r="E88" s="68">
        <f t="shared" si="7"/>
        <v>99.259259259259252</v>
      </c>
      <c r="M88" s="7"/>
      <c r="N88" s="1"/>
    </row>
    <row r="89" spans="4:14" x14ac:dyDescent="0.35">
      <c r="D89" s="4">
        <v>68</v>
      </c>
      <c r="E89" s="68">
        <f t="shared" si="7"/>
        <v>100.74074074074073</v>
      </c>
      <c r="M89" s="7"/>
      <c r="N89" s="1"/>
    </row>
    <row r="90" spans="4:14" x14ac:dyDescent="0.35">
      <c r="D90" s="4">
        <v>69</v>
      </c>
      <c r="E90" s="68">
        <f t="shared" si="7"/>
        <v>102.22222222222221</v>
      </c>
      <c r="M90" s="7"/>
      <c r="N90" s="1"/>
    </row>
    <row r="91" spans="4:14" x14ac:dyDescent="0.35">
      <c r="D91" s="4">
        <v>70</v>
      </c>
      <c r="E91" s="68">
        <f t="shared" si="7"/>
        <v>103.7037037037037</v>
      </c>
      <c r="M91" s="7"/>
      <c r="N91" s="1"/>
    </row>
    <row r="92" spans="4:14" x14ac:dyDescent="0.35">
      <c r="D92" s="4">
        <v>71</v>
      </c>
      <c r="E92" s="68">
        <f t="shared" si="7"/>
        <v>105.18518518518518</v>
      </c>
      <c r="M92" s="7"/>
      <c r="N92" s="1"/>
    </row>
    <row r="93" spans="4:14" x14ac:dyDescent="0.35">
      <c r="D93" s="4">
        <v>72</v>
      </c>
      <c r="E93" s="68">
        <f t="shared" si="7"/>
        <v>106.66666666666666</v>
      </c>
      <c r="M93" s="7"/>
      <c r="N93" s="1"/>
    </row>
    <row r="94" spans="4:14" x14ac:dyDescent="0.35">
      <c r="D94" s="4">
        <v>73</v>
      </c>
      <c r="E94" s="68">
        <f t="shared" si="7"/>
        <v>108.14814814814814</v>
      </c>
      <c r="M94" s="7"/>
      <c r="N94" s="1"/>
    </row>
    <row r="95" spans="4:14" x14ac:dyDescent="0.35">
      <c r="D95" s="4">
        <v>74</v>
      </c>
      <c r="E95" s="68">
        <f t="shared" si="7"/>
        <v>109.62962962962962</v>
      </c>
      <c r="M95" s="7"/>
      <c r="N95" s="1"/>
    </row>
    <row r="96" spans="4:14" x14ac:dyDescent="0.35">
      <c r="D96" s="4">
        <v>75</v>
      </c>
      <c r="E96" s="68">
        <f t="shared" si="7"/>
        <v>111.1111111111111</v>
      </c>
      <c r="M96" s="7"/>
      <c r="N96" s="1"/>
    </row>
    <row r="97" spans="4:14" x14ac:dyDescent="0.35">
      <c r="D97" s="4">
        <v>76</v>
      </c>
      <c r="E97" s="68">
        <f t="shared" si="7"/>
        <v>112.59259259259258</v>
      </c>
      <c r="M97" s="7"/>
      <c r="N97" s="1"/>
    </row>
    <row r="98" spans="4:14" x14ac:dyDescent="0.35">
      <c r="D98" s="4">
        <v>77</v>
      </c>
      <c r="E98" s="68">
        <f t="shared" si="7"/>
        <v>114.07407407407406</v>
      </c>
      <c r="M98" s="7"/>
      <c r="N98" s="1"/>
    </row>
    <row r="99" spans="4:14" x14ac:dyDescent="0.35">
      <c r="D99" s="4">
        <v>78</v>
      </c>
      <c r="E99" s="68">
        <f t="shared" si="7"/>
        <v>115.55555555555554</v>
      </c>
      <c r="M99" s="7"/>
      <c r="N99" s="1"/>
    </row>
    <row r="100" spans="4:14" x14ac:dyDescent="0.35">
      <c r="D100" s="4">
        <v>79</v>
      </c>
      <c r="E100" s="68">
        <f t="shared" si="7"/>
        <v>117.03703703703702</v>
      </c>
      <c r="M100" s="7"/>
      <c r="N100" s="1"/>
    </row>
    <row r="101" spans="4:14" x14ac:dyDescent="0.35">
      <c r="D101" s="4">
        <v>80</v>
      </c>
      <c r="E101" s="68">
        <f t="shared" si="7"/>
        <v>118.5185185185185</v>
      </c>
      <c r="M101" s="7"/>
      <c r="N101" s="1"/>
    </row>
    <row r="102" spans="4:14" x14ac:dyDescent="0.35">
      <c r="D102" s="4">
        <v>81</v>
      </c>
      <c r="E102" s="68">
        <f t="shared" si="7"/>
        <v>120</v>
      </c>
      <c r="M102" s="7"/>
      <c r="N102" s="1"/>
    </row>
    <row r="103" spans="4:14" x14ac:dyDescent="0.35">
      <c r="D103" s="4">
        <v>82</v>
      </c>
      <c r="E103" s="68">
        <f t="shared" si="7"/>
        <v>121.48148148148148</v>
      </c>
      <c r="M103" s="7"/>
      <c r="N103" s="1"/>
    </row>
    <row r="104" spans="4:14" x14ac:dyDescent="0.35">
      <c r="D104" s="4">
        <v>83</v>
      </c>
      <c r="E104" s="68">
        <f t="shared" si="7"/>
        <v>122.96296296296296</v>
      </c>
      <c r="M104" s="7"/>
      <c r="N104" s="1"/>
    </row>
    <row r="105" spans="4:14" x14ac:dyDescent="0.35">
      <c r="D105" s="4">
        <v>84</v>
      </c>
      <c r="E105" s="68">
        <f t="shared" si="7"/>
        <v>124.44444444444444</v>
      </c>
      <c r="M105" s="7"/>
      <c r="N105" s="1"/>
    </row>
    <row r="106" spans="4:14" x14ac:dyDescent="0.35">
      <c r="D106" s="4">
        <v>85</v>
      </c>
      <c r="E106" s="68">
        <f t="shared" si="7"/>
        <v>125.92592592592592</v>
      </c>
      <c r="M106" s="7"/>
      <c r="N106" s="1"/>
    </row>
    <row r="107" spans="4:14" x14ac:dyDescent="0.35">
      <c r="D107" s="4">
        <v>86</v>
      </c>
      <c r="E107" s="68">
        <f t="shared" si="7"/>
        <v>127.4074074074074</v>
      </c>
      <c r="M107" s="7"/>
      <c r="N107" s="1"/>
    </row>
    <row r="108" spans="4:14" x14ac:dyDescent="0.35">
      <c r="D108" s="4">
        <v>87</v>
      </c>
      <c r="E108" s="68">
        <f t="shared" si="7"/>
        <v>128.88888888888889</v>
      </c>
      <c r="M108" s="7"/>
      <c r="N108" s="1"/>
    </row>
    <row r="109" spans="4:14" x14ac:dyDescent="0.35">
      <c r="D109" s="4">
        <v>88</v>
      </c>
      <c r="E109" s="68">
        <f t="shared" si="7"/>
        <v>130.37037037037035</v>
      </c>
      <c r="M109" s="7"/>
      <c r="N109" s="1"/>
    </row>
    <row r="110" spans="4:14" x14ac:dyDescent="0.35">
      <c r="D110" s="4">
        <v>89</v>
      </c>
      <c r="E110" s="68">
        <f t="shared" si="7"/>
        <v>131.85185185185185</v>
      </c>
      <c r="M110" s="7"/>
      <c r="N110" s="1"/>
    </row>
    <row r="111" spans="4:14" x14ac:dyDescent="0.35">
      <c r="D111" s="4">
        <v>90</v>
      </c>
      <c r="E111" s="68">
        <f t="shared" si="7"/>
        <v>133.33333333333331</v>
      </c>
      <c r="M111" s="7"/>
      <c r="N111" s="1"/>
    </row>
    <row r="112" spans="4:14" x14ac:dyDescent="0.35">
      <c r="D112" s="4">
        <v>91</v>
      </c>
      <c r="E112" s="68">
        <f t="shared" si="7"/>
        <v>134.81481481481481</v>
      </c>
      <c r="M112" s="7"/>
      <c r="N112" s="1"/>
    </row>
    <row r="113" spans="4:14" x14ac:dyDescent="0.35">
      <c r="D113" s="4">
        <v>92</v>
      </c>
      <c r="E113" s="68">
        <f t="shared" si="7"/>
        <v>136.29629629629628</v>
      </c>
      <c r="M113" s="7"/>
      <c r="N113" s="1"/>
    </row>
    <row r="114" spans="4:14" x14ac:dyDescent="0.35">
      <c r="D114" s="4">
        <v>93</v>
      </c>
      <c r="E114" s="68">
        <f t="shared" si="7"/>
        <v>137.77777777777777</v>
      </c>
      <c r="M114" s="7"/>
      <c r="N114" s="1"/>
    </row>
    <row r="115" spans="4:14" x14ac:dyDescent="0.35">
      <c r="D115" s="4">
        <v>94</v>
      </c>
      <c r="E115" s="68">
        <f t="shared" si="7"/>
        <v>139.25925925925924</v>
      </c>
      <c r="M115" s="7"/>
      <c r="N115" s="1"/>
    </row>
    <row r="116" spans="4:14" x14ac:dyDescent="0.35">
      <c r="D116" s="4">
        <v>95</v>
      </c>
      <c r="E116" s="68">
        <f t="shared" si="7"/>
        <v>140.74074074074073</v>
      </c>
      <c r="M116" s="7"/>
      <c r="N116" s="1"/>
    </row>
    <row r="117" spans="4:14" x14ac:dyDescent="0.35">
      <c r="D117" s="4">
        <v>96</v>
      </c>
      <c r="E117" s="68">
        <f t="shared" si="7"/>
        <v>142.22222222222223</v>
      </c>
      <c r="M117" s="7"/>
      <c r="N117" s="1"/>
    </row>
    <row r="118" spans="4:14" x14ac:dyDescent="0.35">
      <c r="D118" s="4">
        <v>97</v>
      </c>
      <c r="E118" s="68">
        <f t="shared" si="7"/>
        <v>143.7037037037037</v>
      </c>
      <c r="M118" s="7"/>
      <c r="N118" s="1"/>
    </row>
    <row r="119" spans="4:14" x14ac:dyDescent="0.35">
      <c r="D119" s="4">
        <v>98</v>
      </c>
      <c r="E119" s="68">
        <f t="shared" si="7"/>
        <v>145.18518518518519</v>
      </c>
      <c r="M119" s="7"/>
      <c r="N119" s="1"/>
    </row>
    <row r="120" spans="4:14" x14ac:dyDescent="0.35">
      <c r="D120" s="4">
        <v>99</v>
      </c>
      <c r="E120" s="68">
        <f t="shared" si="7"/>
        <v>146.66666666666666</v>
      </c>
      <c r="M120" s="7"/>
      <c r="N120" s="1"/>
    </row>
    <row r="121" spans="4:14" x14ac:dyDescent="0.35">
      <c r="D121" s="4">
        <v>100</v>
      </c>
      <c r="E121" s="68">
        <f t="shared" si="7"/>
        <v>148.14814814814815</v>
      </c>
      <c r="M121" s="7"/>
      <c r="N121" s="1"/>
    </row>
    <row r="122" spans="4:14" x14ac:dyDescent="0.35">
      <c r="D122" s="4">
        <v>101</v>
      </c>
      <c r="E122" s="68">
        <f t="shared" si="7"/>
        <v>149.62962962962962</v>
      </c>
      <c r="M122" s="7"/>
      <c r="N122" s="1"/>
    </row>
    <row r="123" spans="4:14" x14ac:dyDescent="0.35">
      <c r="D123" s="4">
        <v>102</v>
      </c>
      <c r="E123" s="68">
        <f t="shared" si="7"/>
        <v>151.11111111111111</v>
      </c>
      <c r="M123" s="7"/>
      <c r="N123" s="1"/>
    </row>
    <row r="124" spans="4:14" x14ac:dyDescent="0.35">
      <c r="D124" s="4">
        <v>103</v>
      </c>
      <c r="E124" s="68">
        <f t="shared" si="7"/>
        <v>152.59259259259258</v>
      </c>
    </row>
    <row r="125" spans="4:14" x14ac:dyDescent="0.35">
      <c r="D125" s="4">
        <v>104</v>
      </c>
      <c r="E125" s="68">
        <f t="shared" ref="E125:E188" si="8">D125*$F$16</f>
        <v>154.07407407407408</v>
      </c>
    </row>
    <row r="126" spans="4:14" x14ac:dyDescent="0.35">
      <c r="D126" s="4">
        <v>105</v>
      </c>
      <c r="E126" s="68">
        <f t="shared" si="8"/>
        <v>155.55555555555554</v>
      </c>
    </row>
    <row r="127" spans="4:14" x14ac:dyDescent="0.35">
      <c r="D127" s="4">
        <v>106</v>
      </c>
      <c r="E127" s="68">
        <f t="shared" si="8"/>
        <v>157.03703703703704</v>
      </c>
    </row>
    <row r="128" spans="4:14" x14ac:dyDescent="0.35">
      <c r="D128" s="4">
        <v>107</v>
      </c>
      <c r="E128" s="68">
        <f t="shared" si="8"/>
        <v>158.5185185185185</v>
      </c>
    </row>
    <row r="129" spans="4:5" x14ac:dyDescent="0.35">
      <c r="D129" s="4">
        <v>108</v>
      </c>
      <c r="E129" s="68">
        <f t="shared" si="8"/>
        <v>160</v>
      </c>
    </row>
    <row r="130" spans="4:5" x14ac:dyDescent="0.35">
      <c r="D130" s="4">
        <v>109</v>
      </c>
      <c r="E130" s="68">
        <f t="shared" si="8"/>
        <v>161.48148148148147</v>
      </c>
    </row>
    <row r="131" spans="4:5" x14ac:dyDescent="0.35">
      <c r="D131" s="4">
        <v>110</v>
      </c>
      <c r="E131" s="68">
        <f t="shared" si="8"/>
        <v>162.96296296296296</v>
      </c>
    </row>
    <row r="132" spans="4:5" x14ac:dyDescent="0.35">
      <c r="D132" s="4">
        <v>111</v>
      </c>
      <c r="E132" s="68">
        <f t="shared" si="8"/>
        <v>164.44444444444443</v>
      </c>
    </row>
    <row r="133" spans="4:5" x14ac:dyDescent="0.35">
      <c r="D133" s="4">
        <v>112</v>
      </c>
      <c r="E133" s="68">
        <f t="shared" si="8"/>
        <v>165.92592592592592</v>
      </c>
    </row>
    <row r="134" spans="4:5" x14ac:dyDescent="0.35">
      <c r="D134" s="4">
        <v>113</v>
      </c>
      <c r="E134" s="68">
        <f t="shared" si="8"/>
        <v>167.40740740740739</v>
      </c>
    </row>
    <row r="135" spans="4:5" x14ac:dyDescent="0.35">
      <c r="D135" s="4">
        <v>114</v>
      </c>
      <c r="E135" s="68">
        <f t="shared" si="8"/>
        <v>168.88888888888889</v>
      </c>
    </row>
    <row r="136" spans="4:5" x14ac:dyDescent="0.35">
      <c r="D136" s="4">
        <v>115</v>
      </c>
      <c r="E136" s="68">
        <f t="shared" si="8"/>
        <v>170.37037037037035</v>
      </c>
    </row>
    <row r="137" spans="4:5" x14ac:dyDescent="0.35">
      <c r="D137" s="4">
        <v>116</v>
      </c>
      <c r="E137" s="68">
        <f t="shared" si="8"/>
        <v>171.85185185185185</v>
      </c>
    </row>
    <row r="138" spans="4:5" x14ac:dyDescent="0.35">
      <c r="D138" s="4">
        <v>117</v>
      </c>
      <c r="E138" s="68">
        <f t="shared" si="8"/>
        <v>173.33333333333331</v>
      </c>
    </row>
    <row r="139" spans="4:5" x14ac:dyDescent="0.35">
      <c r="D139" s="4">
        <v>118</v>
      </c>
      <c r="E139" s="68">
        <f t="shared" si="8"/>
        <v>174.81481481481481</v>
      </c>
    </row>
    <row r="140" spans="4:5" x14ac:dyDescent="0.35">
      <c r="D140" s="4">
        <v>119</v>
      </c>
      <c r="E140" s="68">
        <f t="shared" si="8"/>
        <v>176.29629629629628</v>
      </c>
    </row>
    <row r="141" spans="4:5" x14ac:dyDescent="0.35">
      <c r="D141" s="4">
        <v>120</v>
      </c>
      <c r="E141" s="68">
        <f t="shared" si="8"/>
        <v>177.77777777777777</v>
      </c>
    </row>
    <row r="142" spans="4:5" x14ac:dyDescent="0.35">
      <c r="D142" s="4">
        <v>121</v>
      </c>
      <c r="E142" s="68">
        <f t="shared" si="8"/>
        <v>179.25925925925924</v>
      </c>
    </row>
    <row r="143" spans="4:5" x14ac:dyDescent="0.35">
      <c r="D143" s="4">
        <v>122</v>
      </c>
      <c r="E143" s="68">
        <f t="shared" si="8"/>
        <v>180.74074074074073</v>
      </c>
    </row>
    <row r="144" spans="4:5" x14ac:dyDescent="0.35">
      <c r="D144" s="4">
        <v>123</v>
      </c>
      <c r="E144" s="68">
        <f t="shared" si="8"/>
        <v>182.2222222222222</v>
      </c>
    </row>
    <row r="145" spans="4:5" x14ac:dyDescent="0.35">
      <c r="D145" s="4">
        <v>124</v>
      </c>
      <c r="E145" s="68">
        <f t="shared" si="8"/>
        <v>183.7037037037037</v>
      </c>
    </row>
    <row r="146" spans="4:5" x14ac:dyDescent="0.35">
      <c r="D146" s="4">
        <v>125</v>
      </c>
      <c r="E146" s="68">
        <f t="shared" si="8"/>
        <v>185.18518518518516</v>
      </c>
    </row>
    <row r="147" spans="4:5" x14ac:dyDescent="0.35">
      <c r="D147" s="4">
        <v>126</v>
      </c>
      <c r="E147" s="68">
        <f t="shared" si="8"/>
        <v>186.66666666666666</v>
      </c>
    </row>
    <row r="148" spans="4:5" x14ac:dyDescent="0.35">
      <c r="D148" s="4">
        <v>127</v>
      </c>
      <c r="E148" s="68">
        <f t="shared" si="8"/>
        <v>188.14814814814812</v>
      </c>
    </row>
    <row r="149" spans="4:5" x14ac:dyDescent="0.35">
      <c r="D149" s="4">
        <v>128</v>
      </c>
      <c r="E149" s="68">
        <f t="shared" si="8"/>
        <v>189.62962962962962</v>
      </c>
    </row>
    <row r="150" spans="4:5" x14ac:dyDescent="0.35">
      <c r="D150" s="4">
        <v>129</v>
      </c>
      <c r="E150" s="68">
        <f t="shared" si="8"/>
        <v>191.11111111111111</v>
      </c>
    </row>
    <row r="151" spans="4:5" x14ac:dyDescent="0.35">
      <c r="D151" s="4">
        <v>130</v>
      </c>
      <c r="E151" s="68">
        <f t="shared" si="8"/>
        <v>192.59259259259258</v>
      </c>
    </row>
    <row r="152" spans="4:5" x14ac:dyDescent="0.35">
      <c r="D152" s="4">
        <v>131</v>
      </c>
      <c r="E152" s="68">
        <f t="shared" si="8"/>
        <v>194.07407407407408</v>
      </c>
    </row>
    <row r="153" spans="4:5" x14ac:dyDescent="0.35">
      <c r="D153" s="4">
        <v>132</v>
      </c>
      <c r="E153" s="68">
        <f t="shared" si="8"/>
        <v>195.55555555555554</v>
      </c>
    </row>
    <row r="154" spans="4:5" x14ac:dyDescent="0.35">
      <c r="D154" s="4">
        <v>133</v>
      </c>
      <c r="E154" s="68">
        <f t="shared" si="8"/>
        <v>197.03703703703704</v>
      </c>
    </row>
    <row r="155" spans="4:5" x14ac:dyDescent="0.35">
      <c r="D155" s="4">
        <v>134</v>
      </c>
      <c r="E155" s="68">
        <f t="shared" si="8"/>
        <v>198.5185185185185</v>
      </c>
    </row>
    <row r="156" spans="4:5" x14ac:dyDescent="0.35">
      <c r="D156" s="4">
        <v>135</v>
      </c>
      <c r="E156" s="68">
        <f t="shared" si="8"/>
        <v>200</v>
      </c>
    </row>
    <row r="157" spans="4:5" x14ac:dyDescent="0.35">
      <c r="D157" s="4">
        <v>136</v>
      </c>
      <c r="E157" s="68">
        <f t="shared" si="8"/>
        <v>201.48148148148147</v>
      </c>
    </row>
    <row r="158" spans="4:5" x14ac:dyDescent="0.35">
      <c r="D158" s="4">
        <v>137</v>
      </c>
      <c r="E158" s="68">
        <f t="shared" si="8"/>
        <v>202.96296296296296</v>
      </c>
    </row>
    <row r="159" spans="4:5" x14ac:dyDescent="0.35">
      <c r="D159" s="4">
        <v>138</v>
      </c>
      <c r="E159" s="68">
        <f t="shared" si="8"/>
        <v>204.44444444444443</v>
      </c>
    </row>
    <row r="160" spans="4:5" x14ac:dyDescent="0.35">
      <c r="D160" s="4">
        <v>139</v>
      </c>
      <c r="E160" s="68">
        <f t="shared" si="8"/>
        <v>205.92592592592592</v>
      </c>
    </row>
    <row r="161" spans="4:5" x14ac:dyDescent="0.35">
      <c r="D161" s="4">
        <v>140</v>
      </c>
      <c r="E161" s="68">
        <f t="shared" si="8"/>
        <v>207.40740740740739</v>
      </c>
    </row>
    <row r="162" spans="4:5" x14ac:dyDescent="0.35">
      <c r="D162" s="4">
        <v>141</v>
      </c>
      <c r="E162" s="68">
        <f t="shared" si="8"/>
        <v>208.88888888888889</v>
      </c>
    </row>
    <row r="163" spans="4:5" x14ac:dyDescent="0.35">
      <c r="D163" s="4">
        <v>142</v>
      </c>
      <c r="E163" s="68">
        <f t="shared" si="8"/>
        <v>210.37037037037035</v>
      </c>
    </row>
    <row r="164" spans="4:5" x14ac:dyDescent="0.35">
      <c r="D164" s="4">
        <v>143</v>
      </c>
      <c r="E164" s="68">
        <f t="shared" si="8"/>
        <v>211.85185185185185</v>
      </c>
    </row>
    <row r="165" spans="4:5" x14ac:dyDescent="0.35">
      <c r="D165" s="4">
        <v>144</v>
      </c>
      <c r="E165" s="68">
        <f t="shared" si="8"/>
        <v>213.33333333333331</v>
      </c>
    </row>
    <row r="166" spans="4:5" x14ac:dyDescent="0.35">
      <c r="D166" s="4">
        <v>145</v>
      </c>
      <c r="E166" s="68">
        <f t="shared" si="8"/>
        <v>214.81481481481481</v>
      </c>
    </row>
    <row r="167" spans="4:5" x14ac:dyDescent="0.35">
      <c r="D167" s="4">
        <v>146</v>
      </c>
      <c r="E167" s="68">
        <f t="shared" si="8"/>
        <v>216.29629629629628</v>
      </c>
    </row>
    <row r="168" spans="4:5" x14ac:dyDescent="0.35">
      <c r="D168" s="4">
        <v>147</v>
      </c>
      <c r="E168" s="68">
        <f t="shared" si="8"/>
        <v>217.77777777777777</v>
      </c>
    </row>
    <row r="169" spans="4:5" x14ac:dyDescent="0.35">
      <c r="D169" s="4">
        <v>148</v>
      </c>
      <c r="E169" s="68">
        <f t="shared" si="8"/>
        <v>219.25925925925924</v>
      </c>
    </row>
    <row r="170" spans="4:5" x14ac:dyDescent="0.35">
      <c r="D170" s="4">
        <v>149</v>
      </c>
      <c r="E170" s="68">
        <f t="shared" si="8"/>
        <v>220.74074074074073</v>
      </c>
    </row>
    <row r="171" spans="4:5" x14ac:dyDescent="0.35">
      <c r="D171" s="4">
        <v>150</v>
      </c>
      <c r="E171" s="68">
        <f t="shared" si="8"/>
        <v>222.2222222222222</v>
      </c>
    </row>
    <row r="172" spans="4:5" x14ac:dyDescent="0.35">
      <c r="D172" s="4">
        <v>151</v>
      </c>
      <c r="E172" s="68">
        <f t="shared" si="8"/>
        <v>223.7037037037037</v>
      </c>
    </row>
    <row r="173" spans="4:5" x14ac:dyDescent="0.35">
      <c r="D173" s="4">
        <v>152</v>
      </c>
      <c r="E173" s="68">
        <f t="shared" si="8"/>
        <v>225.18518518518516</v>
      </c>
    </row>
    <row r="174" spans="4:5" x14ac:dyDescent="0.35">
      <c r="D174" s="4">
        <v>153</v>
      </c>
      <c r="E174" s="68">
        <f t="shared" si="8"/>
        <v>226.66666666666666</v>
      </c>
    </row>
    <row r="175" spans="4:5" x14ac:dyDescent="0.35">
      <c r="D175" s="4">
        <v>154</v>
      </c>
      <c r="E175" s="68">
        <f t="shared" si="8"/>
        <v>228.14814814814812</v>
      </c>
    </row>
    <row r="176" spans="4:5" x14ac:dyDescent="0.35">
      <c r="D176" s="4">
        <v>155</v>
      </c>
      <c r="E176" s="68">
        <f t="shared" si="8"/>
        <v>229.62962962962962</v>
      </c>
    </row>
    <row r="177" spans="4:5" x14ac:dyDescent="0.35">
      <c r="D177" s="4">
        <v>156</v>
      </c>
      <c r="E177" s="68">
        <f t="shared" si="8"/>
        <v>231.11111111111109</v>
      </c>
    </row>
    <row r="178" spans="4:5" x14ac:dyDescent="0.35">
      <c r="D178" s="4">
        <v>157</v>
      </c>
      <c r="E178" s="68">
        <f t="shared" si="8"/>
        <v>232.59259259259258</v>
      </c>
    </row>
    <row r="179" spans="4:5" x14ac:dyDescent="0.35">
      <c r="D179" s="4">
        <v>158</v>
      </c>
      <c r="E179" s="68">
        <f t="shared" si="8"/>
        <v>234.07407407407405</v>
      </c>
    </row>
    <row r="180" spans="4:5" x14ac:dyDescent="0.35">
      <c r="D180" s="4">
        <v>159</v>
      </c>
      <c r="E180" s="68">
        <f t="shared" si="8"/>
        <v>235.55555555555554</v>
      </c>
    </row>
    <row r="181" spans="4:5" x14ac:dyDescent="0.35">
      <c r="D181" s="4">
        <v>160</v>
      </c>
      <c r="E181" s="68">
        <f t="shared" si="8"/>
        <v>237.03703703703701</v>
      </c>
    </row>
    <row r="182" spans="4:5" x14ac:dyDescent="0.35">
      <c r="D182" s="4">
        <v>161</v>
      </c>
      <c r="E182" s="68">
        <f t="shared" si="8"/>
        <v>238.5185185185185</v>
      </c>
    </row>
    <row r="183" spans="4:5" x14ac:dyDescent="0.35">
      <c r="D183" s="4">
        <v>162</v>
      </c>
      <c r="E183" s="68">
        <f t="shared" si="8"/>
        <v>240</v>
      </c>
    </row>
    <row r="184" spans="4:5" x14ac:dyDescent="0.35">
      <c r="D184" s="4">
        <v>163</v>
      </c>
      <c r="E184" s="68">
        <f t="shared" si="8"/>
        <v>241.48148148148147</v>
      </c>
    </row>
    <row r="185" spans="4:5" x14ac:dyDescent="0.35">
      <c r="D185" s="4">
        <v>164</v>
      </c>
      <c r="E185" s="68">
        <f t="shared" si="8"/>
        <v>242.96296296296296</v>
      </c>
    </row>
    <row r="186" spans="4:5" x14ac:dyDescent="0.35">
      <c r="D186" s="4">
        <v>165</v>
      </c>
      <c r="E186" s="68">
        <f t="shared" si="8"/>
        <v>244.44444444444443</v>
      </c>
    </row>
    <row r="187" spans="4:5" x14ac:dyDescent="0.35">
      <c r="D187" s="4">
        <v>166</v>
      </c>
      <c r="E187" s="68">
        <f t="shared" si="8"/>
        <v>245.92592592592592</v>
      </c>
    </row>
    <row r="188" spans="4:5" x14ac:dyDescent="0.35">
      <c r="D188" s="4">
        <v>167</v>
      </c>
      <c r="E188" s="68">
        <f t="shared" si="8"/>
        <v>247.40740740740739</v>
      </c>
    </row>
    <row r="189" spans="4:5" x14ac:dyDescent="0.35">
      <c r="D189" s="4">
        <v>168</v>
      </c>
      <c r="E189" s="68">
        <f t="shared" ref="E189:E221" si="9">D189*$F$16</f>
        <v>248.88888888888889</v>
      </c>
    </row>
    <row r="190" spans="4:5" x14ac:dyDescent="0.35">
      <c r="D190" s="4">
        <v>169</v>
      </c>
      <c r="E190" s="68">
        <f t="shared" si="9"/>
        <v>250.37037037037035</v>
      </c>
    </row>
    <row r="191" spans="4:5" x14ac:dyDescent="0.35">
      <c r="D191" s="4">
        <v>170</v>
      </c>
      <c r="E191" s="68">
        <f t="shared" si="9"/>
        <v>251.85185185185185</v>
      </c>
    </row>
    <row r="192" spans="4:5" x14ac:dyDescent="0.35">
      <c r="D192" s="4">
        <v>171</v>
      </c>
      <c r="E192" s="68">
        <f t="shared" si="9"/>
        <v>253.33333333333331</v>
      </c>
    </row>
    <row r="193" spans="4:5" x14ac:dyDescent="0.35">
      <c r="D193" s="4">
        <v>172</v>
      </c>
      <c r="E193" s="68">
        <f t="shared" si="9"/>
        <v>254.81481481481481</v>
      </c>
    </row>
    <row r="194" spans="4:5" x14ac:dyDescent="0.35">
      <c r="D194" s="4">
        <v>173</v>
      </c>
      <c r="E194" s="68">
        <f t="shared" si="9"/>
        <v>256.2962962962963</v>
      </c>
    </row>
    <row r="195" spans="4:5" x14ac:dyDescent="0.35">
      <c r="D195" s="4">
        <v>174</v>
      </c>
      <c r="E195" s="68">
        <f t="shared" si="9"/>
        <v>257.77777777777777</v>
      </c>
    </row>
    <row r="196" spans="4:5" x14ac:dyDescent="0.35">
      <c r="D196" s="4">
        <v>175</v>
      </c>
      <c r="E196" s="68">
        <f t="shared" si="9"/>
        <v>259.25925925925924</v>
      </c>
    </row>
    <row r="197" spans="4:5" x14ac:dyDescent="0.35">
      <c r="D197" s="4">
        <v>176</v>
      </c>
      <c r="E197" s="68">
        <f t="shared" si="9"/>
        <v>260.7407407407407</v>
      </c>
    </row>
    <row r="198" spans="4:5" x14ac:dyDescent="0.35">
      <c r="D198" s="4">
        <v>177</v>
      </c>
      <c r="E198" s="68">
        <f t="shared" si="9"/>
        <v>262.22222222222223</v>
      </c>
    </row>
    <row r="199" spans="4:5" x14ac:dyDescent="0.35">
      <c r="D199" s="4">
        <v>178</v>
      </c>
      <c r="E199" s="68">
        <f t="shared" si="9"/>
        <v>263.7037037037037</v>
      </c>
    </row>
    <row r="200" spans="4:5" x14ac:dyDescent="0.35">
      <c r="D200" s="4">
        <v>179</v>
      </c>
      <c r="E200" s="68">
        <f t="shared" si="9"/>
        <v>265.18518518518516</v>
      </c>
    </row>
    <row r="201" spans="4:5" x14ac:dyDescent="0.35">
      <c r="D201" s="4">
        <v>180</v>
      </c>
      <c r="E201" s="68">
        <f t="shared" si="9"/>
        <v>266.66666666666663</v>
      </c>
    </row>
    <row r="202" spans="4:5" x14ac:dyDescent="0.35">
      <c r="D202" s="4">
        <v>181</v>
      </c>
      <c r="E202" s="68">
        <f t="shared" si="9"/>
        <v>268.14814814814815</v>
      </c>
    </row>
    <row r="203" spans="4:5" x14ac:dyDescent="0.35">
      <c r="D203" s="4">
        <v>182</v>
      </c>
      <c r="E203" s="68">
        <f t="shared" si="9"/>
        <v>269.62962962962962</v>
      </c>
    </row>
    <row r="204" spans="4:5" x14ac:dyDescent="0.35">
      <c r="D204" s="4">
        <v>183</v>
      </c>
      <c r="E204" s="68">
        <f t="shared" si="9"/>
        <v>271.11111111111109</v>
      </c>
    </row>
    <row r="205" spans="4:5" x14ac:dyDescent="0.35">
      <c r="D205" s="4">
        <v>184</v>
      </c>
      <c r="E205" s="68">
        <f t="shared" si="9"/>
        <v>272.59259259259255</v>
      </c>
    </row>
    <row r="206" spans="4:5" x14ac:dyDescent="0.35">
      <c r="D206" s="4">
        <v>185</v>
      </c>
      <c r="E206" s="68">
        <f t="shared" si="9"/>
        <v>274.07407407407408</v>
      </c>
    </row>
    <row r="207" spans="4:5" x14ac:dyDescent="0.35">
      <c r="D207" s="4">
        <v>186</v>
      </c>
      <c r="E207" s="68">
        <f t="shared" si="9"/>
        <v>275.55555555555554</v>
      </c>
    </row>
    <row r="208" spans="4:5" x14ac:dyDescent="0.35">
      <c r="D208" s="4">
        <v>187</v>
      </c>
      <c r="E208" s="68">
        <f t="shared" si="9"/>
        <v>277.03703703703701</v>
      </c>
    </row>
    <row r="209" spans="4:5" x14ac:dyDescent="0.35">
      <c r="D209" s="4">
        <v>188</v>
      </c>
      <c r="E209" s="68">
        <f t="shared" si="9"/>
        <v>278.51851851851848</v>
      </c>
    </row>
    <row r="210" spans="4:5" x14ac:dyDescent="0.35">
      <c r="D210" s="4">
        <v>189</v>
      </c>
      <c r="E210" s="68">
        <f t="shared" si="9"/>
        <v>280</v>
      </c>
    </row>
    <row r="211" spans="4:5" x14ac:dyDescent="0.35">
      <c r="D211" s="4">
        <v>190</v>
      </c>
      <c r="E211" s="68">
        <f t="shared" si="9"/>
        <v>281.48148148148147</v>
      </c>
    </row>
    <row r="212" spans="4:5" x14ac:dyDescent="0.35">
      <c r="D212" s="4">
        <v>191</v>
      </c>
      <c r="E212" s="68">
        <f t="shared" si="9"/>
        <v>282.96296296296293</v>
      </c>
    </row>
    <row r="213" spans="4:5" x14ac:dyDescent="0.35">
      <c r="D213" s="4">
        <v>192</v>
      </c>
      <c r="E213" s="68">
        <f t="shared" si="9"/>
        <v>284.44444444444446</v>
      </c>
    </row>
    <row r="214" spans="4:5" x14ac:dyDescent="0.35">
      <c r="D214" s="4">
        <v>193</v>
      </c>
      <c r="E214" s="68">
        <f t="shared" si="9"/>
        <v>285.92592592592592</v>
      </c>
    </row>
    <row r="215" spans="4:5" x14ac:dyDescent="0.35">
      <c r="D215" s="4">
        <v>194</v>
      </c>
      <c r="E215" s="68">
        <f t="shared" si="9"/>
        <v>287.40740740740739</v>
      </c>
    </row>
    <row r="216" spans="4:5" x14ac:dyDescent="0.35">
      <c r="D216" s="4">
        <v>195</v>
      </c>
      <c r="E216" s="68">
        <f t="shared" si="9"/>
        <v>288.88888888888886</v>
      </c>
    </row>
    <row r="217" spans="4:5" x14ac:dyDescent="0.35">
      <c r="D217" s="4">
        <v>196</v>
      </c>
      <c r="E217" s="68">
        <f t="shared" si="9"/>
        <v>290.37037037037038</v>
      </c>
    </row>
    <row r="218" spans="4:5" x14ac:dyDescent="0.35">
      <c r="D218" s="4">
        <v>197</v>
      </c>
      <c r="E218" s="68">
        <f t="shared" si="9"/>
        <v>291.85185185185185</v>
      </c>
    </row>
    <row r="219" spans="4:5" x14ac:dyDescent="0.35">
      <c r="D219" s="4">
        <v>198</v>
      </c>
      <c r="E219" s="68">
        <f t="shared" si="9"/>
        <v>293.33333333333331</v>
      </c>
    </row>
    <row r="220" spans="4:5" x14ac:dyDescent="0.35">
      <c r="D220" s="4">
        <v>199</v>
      </c>
      <c r="E220" s="68">
        <f t="shared" si="9"/>
        <v>294.81481481481478</v>
      </c>
    </row>
    <row r="221" spans="4:5" x14ac:dyDescent="0.35">
      <c r="D221" s="4">
        <v>200</v>
      </c>
      <c r="E221" s="68">
        <f t="shared" si="9"/>
        <v>296.2962962962963</v>
      </c>
    </row>
  </sheetData>
  <sheetProtection algorithmName="SHA-512" hashValue="DoRZqEk5TgxWEVJi4Z+A++C6e2PvMCoRxeTU9fDuTTh961nTHnGPCgkH+Z7M7NhR4gnNemCxzZWbe+LiQdv5Wg==" saltValue="LIoG3QUktjcjToUPClDBkA==" spinCount="100000" sheet="1" objects="1" scenarios="1"/>
  <hyperlinks>
    <hyperlink ref="Y7" r:id="rId1" xr:uid="{607A4625-B904-43C0-833E-BDA57592BD1E}"/>
  </hyperlinks>
  <pageMargins left="0.7" right="0.7" top="0.75" bottom="0.75" header="0.3" footer="0.3"/>
  <pageSetup paperSize="9" orientation="portrait" horizontalDpi="4294967294" r:id="rId2"/>
  <ignoredErrors>
    <ignoredError sqref="H3:I12 G167:G176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E779-BE06-4737-B37D-A973CFAA581D}">
  <dimension ref="B1:U190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84" sqref="G84"/>
    </sheetView>
  </sheetViews>
  <sheetFormatPr defaultColWidth="8.7265625" defaultRowHeight="10" outlineLevelRow="1" x14ac:dyDescent="0.35"/>
  <cols>
    <col min="1" max="1" width="2.54296875" style="10" customWidth="1"/>
    <col min="2" max="2" width="39.81640625" style="10" customWidth="1"/>
    <col min="3" max="3" width="9.1796875" style="10" customWidth="1"/>
    <col min="4" max="4" width="10" style="10" bestFit="1" customWidth="1"/>
    <col min="5" max="5" width="9.7265625" style="10" customWidth="1"/>
    <col min="6" max="6" width="10.54296875" style="10" customWidth="1"/>
    <col min="7" max="7" width="9.54296875" style="10" customWidth="1"/>
    <col min="8" max="8" width="10.453125" style="10" bestFit="1" customWidth="1"/>
    <col min="9" max="9" width="11" style="24" customWidth="1"/>
    <col min="10" max="10" width="8.54296875" style="10" customWidth="1"/>
    <col min="11" max="11" width="10.54296875" style="10" customWidth="1"/>
    <col min="12" max="12" width="10.453125" style="10" bestFit="1" customWidth="1"/>
    <col min="13" max="13" width="10.54296875" style="10" customWidth="1"/>
    <col min="14" max="14" width="7.1796875" style="10" customWidth="1"/>
    <col min="15" max="16" width="10.453125" style="10" bestFit="1" customWidth="1"/>
    <col min="17" max="16384" width="8.7265625" style="10"/>
  </cols>
  <sheetData>
    <row r="1" spans="2:15" ht="19.5" customHeight="1" x14ac:dyDescent="0.35">
      <c r="B1" s="150" t="s">
        <v>73</v>
      </c>
      <c r="C1" s="151"/>
      <c r="D1" s="151"/>
      <c r="E1" s="151"/>
      <c r="F1" s="151"/>
      <c r="G1" s="151"/>
      <c r="H1" s="151"/>
      <c r="I1" s="152"/>
      <c r="O1" s="10" t="s">
        <v>74</v>
      </c>
    </row>
    <row r="2" spans="2:15" x14ac:dyDescent="0.35">
      <c r="B2" s="23"/>
      <c r="O2" s="10" t="s">
        <v>75</v>
      </c>
    </row>
    <row r="3" spans="2:15" ht="16" customHeight="1" x14ac:dyDescent="0.35">
      <c r="B3" s="153" t="s">
        <v>76</v>
      </c>
      <c r="C3" s="153"/>
      <c r="D3" s="153"/>
      <c r="E3" s="153"/>
      <c r="F3" s="153"/>
      <c r="G3" s="153"/>
      <c r="H3" s="153"/>
      <c r="I3" s="153"/>
    </row>
    <row r="4" spans="2:15" ht="25" customHeight="1" x14ac:dyDescent="0.35">
      <c r="B4" s="25" t="s">
        <v>77</v>
      </c>
      <c r="C4" s="154" t="s">
        <v>221</v>
      </c>
      <c r="D4" s="154"/>
      <c r="E4" s="154"/>
      <c r="F4" s="154"/>
      <c r="G4" s="154"/>
      <c r="H4" s="154"/>
      <c r="I4" s="154"/>
    </row>
    <row r="5" spans="2:15" ht="12" customHeight="1" x14ac:dyDescent="0.35">
      <c r="B5" s="25" t="s">
        <v>78</v>
      </c>
      <c r="C5" s="10" t="s">
        <v>79</v>
      </c>
      <c r="F5" s="155"/>
      <c r="G5" s="156"/>
      <c r="H5" s="10" t="s">
        <v>80</v>
      </c>
      <c r="I5" s="48"/>
    </row>
    <row r="6" spans="2:15" ht="12" customHeight="1" x14ac:dyDescent="0.35">
      <c r="B6" s="25" t="s">
        <v>81</v>
      </c>
      <c r="C6" s="142" t="s">
        <v>200</v>
      </c>
      <c r="D6" s="142"/>
      <c r="E6" s="142"/>
      <c r="F6" s="142"/>
      <c r="G6" s="142"/>
      <c r="H6" s="142"/>
      <c r="I6" s="142"/>
    </row>
    <row r="7" spans="2:15" ht="12" customHeight="1" x14ac:dyDescent="0.35">
      <c r="B7" s="25" t="s">
        <v>82</v>
      </c>
      <c r="C7" s="142" t="s">
        <v>51</v>
      </c>
      <c r="D7" s="142"/>
      <c r="E7" s="142"/>
      <c r="F7" s="142"/>
      <c r="G7" s="142"/>
      <c r="H7" s="142"/>
      <c r="I7" s="142"/>
    </row>
    <row r="8" spans="2:15" ht="12" customHeight="1" x14ac:dyDescent="0.35">
      <c r="B8" s="25" t="s">
        <v>83</v>
      </c>
      <c r="C8" s="24" t="s">
        <v>84</v>
      </c>
      <c r="D8" s="37"/>
      <c r="E8" s="57"/>
      <c r="F8" s="27" t="s">
        <v>85</v>
      </c>
      <c r="G8" s="37"/>
      <c r="H8" s="24" t="s">
        <v>86</v>
      </c>
      <c r="I8" s="26">
        <v>20224015</v>
      </c>
    </row>
    <row r="9" spans="2:15" ht="12" customHeight="1" x14ac:dyDescent="0.35">
      <c r="B9" s="25" t="s">
        <v>87</v>
      </c>
      <c r="C9" s="38"/>
      <c r="D9" s="65" t="s">
        <v>88</v>
      </c>
      <c r="E9" s="58"/>
      <c r="F9" s="27"/>
      <c r="G9" s="27"/>
      <c r="H9" s="24"/>
    </row>
    <row r="10" spans="2:15" ht="12" customHeight="1" x14ac:dyDescent="0.35">
      <c r="B10" s="25" t="s">
        <v>89</v>
      </c>
      <c r="C10" s="142"/>
      <c r="D10" s="142"/>
      <c r="E10" s="142"/>
      <c r="F10" s="142"/>
      <c r="G10" s="142"/>
      <c r="H10" s="142"/>
      <c r="I10" s="142"/>
    </row>
    <row r="11" spans="2:15" ht="12" customHeight="1" x14ac:dyDescent="0.35">
      <c r="B11" s="25" t="s">
        <v>90</v>
      </c>
      <c r="C11" s="159"/>
      <c r="D11" s="159"/>
      <c r="E11" s="159"/>
      <c r="F11" s="159"/>
      <c r="G11" s="159"/>
      <c r="H11" s="159"/>
      <c r="I11" s="159"/>
    </row>
    <row r="12" spans="2:15" ht="12" customHeight="1" x14ac:dyDescent="0.35">
      <c r="B12" s="25" t="s">
        <v>91</v>
      </c>
      <c r="C12" s="142"/>
      <c r="D12" s="142"/>
      <c r="E12" s="142"/>
      <c r="F12" s="142"/>
      <c r="G12" s="142"/>
      <c r="H12" s="142"/>
      <c r="I12" s="142"/>
    </row>
    <row r="13" spans="2:15" ht="12" customHeight="1" x14ac:dyDescent="0.35">
      <c r="B13" s="25" t="s">
        <v>92</v>
      </c>
      <c r="C13" s="10" t="s">
        <v>93</v>
      </c>
      <c r="D13" s="39">
        <f>C14*27</f>
        <v>54</v>
      </c>
      <c r="E13" s="59"/>
      <c r="F13" s="10" t="s">
        <v>94</v>
      </c>
      <c r="I13" s="139">
        <v>12</v>
      </c>
    </row>
    <row r="14" spans="2:15" ht="12" customHeight="1" x14ac:dyDescent="0.35">
      <c r="B14" s="25" t="s">
        <v>95</v>
      </c>
      <c r="C14" s="39">
        <v>2</v>
      </c>
      <c r="F14" s="25" t="s">
        <v>96</v>
      </c>
      <c r="G14" s="25"/>
      <c r="H14" s="25"/>
      <c r="I14" s="39">
        <v>0</v>
      </c>
    </row>
    <row r="15" spans="2:15" ht="12" customHeight="1" x14ac:dyDescent="0.35">
      <c r="B15" s="25" t="s">
        <v>97</v>
      </c>
      <c r="C15" s="39"/>
      <c r="F15" s="157" t="s">
        <v>98</v>
      </c>
      <c r="G15" s="157"/>
      <c r="H15" s="157"/>
      <c r="I15" s="39">
        <v>15</v>
      </c>
    </row>
    <row r="16" spans="2:15" x14ac:dyDescent="0.35">
      <c r="B16" s="25" t="s">
        <v>99</v>
      </c>
      <c r="C16" s="142" t="s">
        <v>26</v>
      </c>
      <c r="D16" s="142"/>
      <c r="F16" s="157" t="s">
        <v>30</v>
      </c>
      <c r="G16" s="157"/>
      <c r="H16" s="157"/>
      <c r="I16" s="39">
        <v>100</v>
      </c>
    </row>
    <row r="17" spans="2:9" x14ac:dyDescent="0.35">
      <c r="B17" s="25"/>
      <c r="C17" s="85"/>
      <c r="D17" s="86"/>
      <c r="F17" s="157" t="s">
        <v>37</v>
      </c>
      <c r="G17" s="157"/>
      <c r="H17" s="157"/>
      <c r="I17" s="39">
        <v>75</v>
      </c>
    </row>
    <row r="18" spans="2:9" x14ac:dyDescent="0.35">
      <c r="B18" s="25"/>
      <c r="F18" s="25" t="s">
        <v>100</v>
      </c>
      <c r="G18" s="158" t="s">
        <v>37</v>
      </c>
      <c r="H18" s="158"/>
      <c r="I18" s="158"/>
    </row>
    <row r="19" spans="2:9" x14ac:dyDescent="0.35">
      <c r="B19" s="25" t="s">
        <v>101</v>
      </c>
      <c r="C19" s="11">
        <v>30</v>
      </c>
      <c r="D19" s="27"/>
      <c r="E19" s="27"/>
      <c r="F19" s="25" t="s">
        <v>102</v>
      </c>
      <c r="G19" s="25"/>
      <c r="H19" s="25"/>
      <c r="I19" s="39" t="str">
        <f>IF(AND(I14&gt;0,C14&gt;0),"Horas",IF(AND(I14=0,C14&lt;=1),"Horas",IF(AND(C14&gt;1,I14=0),"ECTS")))</f>
        <v>ECTS</v>
      </c>
    </row>
    <row r="20" spans="2:9" x14ac:dyDescent="0.35">
      <c r="B20" s="25"/>
      <c r="C20" s="76"/>
      <c r="D20" s="27"/>
      <c r="E20" s="27"/>
      <c r="F20" s="25" t="s">
        <v>103</v>
      </c>
      <c r="G20" s="25"/>
      <c r="H20" s="25"/>
      <c r="I20" s="39" t="str">
        <f>IF(AND(I19="Horas",I14&gt;0),"Sim","Não")</f>
        <v>Não</v>
      </c>
    </row>
    <row r="21" spans="2:9" x14ac:dyDescent="0.35">
      <c r="B21" s="35" t="s">
        <v>15</v>
      </c>
      <c r="C21" s="142"/>
      <c r="D21" s="142"/>
      <c r="E21" s="142"/>
      <c r="F21" s="142"/>
      <c r="G21" s="142"/>
      <c r="H21" s="142"/>
      <c r="I21" s="142"/>
    </row>
    <row r="22" spans="2:9" ht="31" customHeight="1" x14ac:dyDescent="0.35">
      <c r="B22" s="25" t="s">
        <v>104</v>
      </c>
      <c r="C22" s="159" t="s">
        <v>28</v>
      </c>
      <c r="D22" s="159"/>
      <c r="E22" s="159"/>
      <c r="F22" s="159"/>
      <c r="G22" s="159"/>
      <c r="H22" s="159"/>
      <c r="I22" s="159"/>
    </row>
    <row r="23" spans="2:9" x14ac:dyDescent="0.35">
      <c r="B23" s="25"/>
      <c r="C23" s="142"/>
      <c r="D23" s="142"/>
      <c r="E23" s="142"/>
      <c r="F23" s="142"/>
      <c r="G23" s="142"/>
      <c r="H23" s="142"/>
      <c r="I23" s="142"/>
    </row>
    <row r="24" spans="2:9" x14ac:dyDescent="0.35">
      <c r="B24" s="25"/>
    </row>
    <row r="25" spans="2:9" ht="16" customHeight="1" x14ac:dyDescent="0.35">
      <c r="B25" s="74" t="s">
        <v>105</v>
      </c>
      <c r="C25" s="74"/>
      <c r="D25" s="74"/>
      <c r="E25" s="74"/>
      <c r="F25" s="74"/>
      <c r="G25" s="74"/>
      <c r="H25" s="74"/>
      <c r="I25" s="75" t="s">
        <v>106</v>
      </c>
    </row>
    <row r="26" spans="2:9" x14ac:dyDescent="0.35">
      <c r="B26" s="25" t="s">
        <v>107</v>
      </c>
      <c r="C26" s="28"/>
      <c r="D26" s="28"/>
      <c r="E26" s="28"/>
      <c r="F26" s="28"/>
      <c r="G26" s="28"/>
      <c r="H26" s="17"/>
      <c r="I26" s="11">
        <v>20</v>
      </c>
    </row>
    <row r="27" spans="2:9" x14ac:dyDescent="0.35">
      <c r="B27" s="25" t="s">
        <v>108</v>
      </c>
      <c r="C27" s="28"/>
      <c r="D27" s="28"/>
      <c r="E27" s="28"/>
      <c r="F27" s="28"/>
      <c r="G27" s="28"/>
      <c r="H27" s="17"/>
      <c r="I27" s="11">
        <v>10</v>
      </c>
    </row>
    <row r="28" spans="2:9" x14ac:dyDescent="0.35">
      <c r="B28" s="77"/>
      <c r="C28" s="77"/>
      <c r="D28" s="77"/>
      <c r="E28" s="77"/>
      <c r="F28" s="77"/>
      <c r="G28" s="78"/>
      <c r="H28" s="79"/>
      <c r="I28" s="79">
        <f>SUBTOTAL(9,I26:I27)</f>
        <v>30</v>
      </c>
    </row>
    <row r="29" spans="2:9" x14ac:dyDescent="0.35">
      <c r="B29" s="74" t="s">
        <v>109</v>
      </c>
      <c r="C29" s="74"/>
      <c r="D29" s="74"/>
      <c r="E29" s="74"/>
      <c r="F29" s="74"/>
      <c r="G29" s="74"/>
      <c r="H29" s="74"/>
      <c r="I29" s="75" t="s">
        <v>106</v>
      </c>
    </row>
    <row r="30" spans="2:9" x14ac:dyDescent="0.35">
      <c r="B30" s="25" t="s">
        <v>110</v>
      </c>
      <c r="C30" s="28"/>
      <c r="D30" s="28"/>
      <c r="E30" s="69" t="str">
        <f>IF(I20="SIM","Horas calculadas por módulo. Ver quadro 8","")</f>
        <v/>
      </c>
      <c r="F30" s="28"/>
      <c r="G30" s="28"/>
      <c r="H30" s="17"/>
      <c r="I30" s="11">
        <f>IFERROR(IF(AND(I19="ects",I20="Não"),0,IF(AND(I20="sim",I19="horas"),0,VLOOKUP(I13,Critérios!D18:E81,2,FALSE))),0)</f>
        <v>0</v>
      </c>
    </row>
    <row r="31" spans="2:9" x14ac:dyDescent="0.35">
      <c r="B31" s="25" t="s">
        <v>111</v>
      </c>
      <c r="H31" s="17"/>
      <c r="I31" s="11">
        <f>IF(I19="ECTS",VLOOKUP(C14,Critérios!C2:E12,3,TRUE),0)</f>
        <v>45</v>
      </c>
    </row>
    <row r="32" spans="2:9" ht="14.15" customHeight="1" x14ac:dyDescent="0.35">
      <c r="B32" s="77"/>
      <c r="C32" s="77"/>
      <c r="D32" s="77"/>
      <c r="E32" s="77"/>
      <c r="F32" s="77"/>
      <c r="G32" s="78"/>
      <c r="H32" s="79"/>
      <c r="I32" s="79">
        <f>SUBTOTAL(9,I30:I31)</f>
        <v>45</v>
      </c>
    </row>
    <row r="34" spans="2:9" ht="16" customHeight="1" x14ac:dyDescent="0.35">
      <c r="B34" s="74" t="s">
        <v>112</v>
      </c>
      <c r="C34" s="74"/>
      <c r="D34" s="74"/>
      <c r="E34" s="74"/>
      <c r="F34" s="74"/>
      <c r="G34" s="74"/>
      <c r="H34" s="74"/>
      <c r="I34" s="75"/>
    </row>
    <row r="35" spans="2:9" x14ac:dyDescent="0.35">
      <c r="B35" s="29"/>
    </row>
    <row r="36" spans="2:9" ht="40" x14ac:dyDescent="0.35">
      <c r="B36" s="46" t="s">
        <v>113</v>
      </c>
      <c r="C36" s="47" t="s">
        <v>114</v>
      </c>
      <c r="D36" s="47" t="s">
        <v>115</v>
      </c>
      <c r="E36" s="47" t="s">
        <v>36</v>
      </c>
      <c r="F36" s="105" t="s">
        <v>116</v>
      </c>
      <c r="G36" s="45" t="s">
        <v>117</v>
      </c>
      <c r="H36" s="47" t="s">
        <v>118</v>
      </c>
      <c r="I36" s="45" t="s">
        <v>119</v>
      </c>
    </row>
    <row r="37" spans="2:9" outlineLevel="1" x14ac:dyDescent="0.35">
      <c r="B37" s="49" t="s">
        <v>120</v>
      </c>
      <c r="C37" s="40">
        <v>0</v>
      </c>
      <c r="D37" s="40">
        <v>0</v>
      </c>
      <c r="E37" s="40"/>
      <c r="F37" s="39" t="s">
        <v>16</v>
      </c>
      <c r="G37" s="12">
        <f>IF(AND(F37&lt;&gt;"",F37="Base"),VLOOKUP($C$22,Critérios!$Y$2:$AA$4,2,FALSE),0)+IF(AND(F37&lt;&gt;"",F37="Máximo"),VLOOKUP($C$22,Critérios!$Y$2:$AA$4,3,FALSE),0)</f>
        <v>30</v>
      </c>
      <c r="H37" s="64">
        <v>0</v>
      </c>
      <c r="I37" s="103">
        <f>(G37*H37)+(C37*Critérios!AD2)+(Critérios!AD3*D37)+E37</f>
        <v>0</v>
      </c>
    </row>
    <row r="38" spans="2:9" outlineLevel="1" x14ac:dyDescent="0.35">
      <c r="B38" s="49" t="s">
        <v>121</v>
      </c>
      <c r="C38" s="40"/>
      <c r="D38" s="40"/>
      <c r="E38" s="40"/>
      <c r="F38" s="39" t="s">
        <v>16</v>
      </c>
      <c r="G38" s="11">
        <f>IF(AND(F38&lt;&gt;"",F38="Base"),VLOOKUP($C$22,Critérios!$Y$2:$AA$4,2,FALSE),0)+IF(AND(F38&lt;&gt;"",F38="Máximo"),VLOOKUP($C$22,Critérios!$Y$2:$AA$4,3,FALSE),0)</f>
        <v>30</v>
      </c>
      <c r="H38" s="64"/>
      <c r="I38" s="103">
        <f>(G38*H38)+(C38*Critérios!AD3)+(Critérios!AD4*D38)+E38</f>
        <v>0</v>
      </c>
    </row>
    <row r="39" spans="2:9" outlineLevel="1" x14ac:dyDescent="0.35">
      <c r="B39" s="49" t="s">
        <v>122</v>
      </c>
      <c r="C39" s="40"/>
      <c r="D39" s="40"/>
      <c r="E39" s="40"/>
      <c r="F39" s="39" t="s">
        <v>16</v>
      </c>
      <c r="G39" s="11">
        <f>IF(AND(F39&lt;&gt;"",F39="Base"),VLOOKUP($C$22,Critérios!$Y$2:$AA$4,2,FALSE),0)+IF(AND(F39&lt;&gt;"",F39="Máximo"),VLOOKUP($C$22,Critérios!$Y$2:$AA$4,3,FALSE),0)</f>
        <v>30</v>
      </c>
      <c r="H39" s="64"/>
      <c r="I39" s="103">
        <f>(G39*H39)+(C39*Critérios!AD4)+(Critérios!AD5*D39)+E39</f>
        <v>0</v>
      </c>
    </row>
    <row r="40" spans="2:9" outlineLevel="1" x14ac:dyDescent="0.35">
      <c r="B40" s="49" t="s">
        <v>123</v>
      </c>
      <c r="C40" s="40"/>
      <c r="D40" s="40"/>
      <c r="E40" s="40"/>
      <c r="F40" s="39" t="s">
        <v>16</v>
      </c>
      <c r="G40" s="11">
        <f>IF(AND(F40&lt;&gt;"",F40="Base"),VLOOKUP($C$22,Critérios!$Y$2:$AA$4,2,FALSE),0)+IF(AND(F40&lt;&gt;"",F40="Máximo"),VLOOKUP($C$22,Critérios!$Y$2:$AA$4,3,FALSE),0)</f>
        <v>30</v>
      </c>
      <c r="H40" s="64"/>
      <c r="I40" s="103">
        <f>(G40*H40)+(C40*Critérios!AD5)+(Critérios!AD6*D40)+E40</f>
        <v>0</v>
      </c>
    </row>
    <row r="41" spans="2:9" outlineLevel="1" x14ac:dyDescent="0.35">
      <c r="B41" s="49" t="s">
        <v>124</v>
      </c>
      <c r="C41" s="40"/>
      <c r="D41" s="40"/>
      <c r="E41" s="40"/>
      <c r="F41" s="39" t="s">
        <v>16</v>
      </c>
      <c r="G41" s="11">
        <f>IF(AND(F41&lt;&gt;"",F41="Base"),VLOOKUP($C$22,Critérios!$Y$2:$AA$4,2,FALSE),0)+IF(AND(F41&lt;&gt;"",F41="Máximo"),VLOOKUP($C$22,Critérios!$Y$2:$AA$4,3,FALSE),0)</f>
        <v>30</v>
      </c>
      <c r="H41" s="64"/>
      <c r="I41" s="103">
        <f>(G41*H41)+(C41*Critérios!AD6)+(Critérios!AD7*D41)+E41</f>
        <v>0</v>
      </c>
    </row>
    <row r="42" spans="2:9" outlineLevel="1" x14ac:dyDescent="0.35">
      <c r="B42" s="49" t="s">
        <v>125</v>
      </c>
      <c r="C42" s="40"/>
      <c r="D42" s="40"/>
      <c r="E42" s="40"/>
      <c r="F42" s="39" t="s">
        <v>16</v>
      </c>
      <c r="G42" s="11">
        <f>IF(AND(F42&lt;&gt;"",F42="Base"),VLOOKUP($C$22,Critérios!$Y$2:$AA$4,2,FALSE),0)+IF(AND(F42&lt;&gt;"",F42="Máximo"),VLOOKUP($C$22,Critérios!$Y$2:$AA$4,3,FALSE),0)</f>
        <v>30</v>
      </c>
      <c r="H42" s="64"/>
      <c r="I42" s="103">
        <f>(G42*H42)+(C42*Critérios!AD7)+(Critérios!AD8*D42)+E42</f>
        <v>0</v>
      </c>
    </row>
    <row r="43" spans="2:9" outlineLevel="1" x14ac:dyDescent="0.35">
      <c r="B43" s="49" t="s">
        <v>126</v>
      </c>
      <c r="C43" s="40"/>
      <c r="D43" s="40"/>
      <c r="E43" s="40"/>
      <c r="F43" s="39" t="s">
        <v>16</v>
      </c>
      <c r="G43" s="11">
        <f>IF(AND(F43&lt;&gt;"",F43="Base"),VLOOKUP($C$22,Critérios!$Y$2:$AA$4,2,FALSE),0)+IF(AND(F43&lt;&gt;"",F43="Máximo"),VLOOKUP($C$22,Critérios!$Y$2:$AA$4,3,FALSE),0)</f>
        <v>30</v>
      </c>
      <c r="H43" s="64"/>
      <c r="I43" s="103">
        <f>(G43*H43)+(C43*Critérios!AD8)+(Critérios!AD9*D43)+E43</f>
        <v>0</v>
      </c>
    </row>
    <row r="44" spans="2:9" outlineLevel="1" x14ac:dyDescent="0.35">
      <c r="B44" s="49" t="s">
        <v>127</v>
      </c>
      <c r="C44" s="40"/>
      <c r="D44" s="40"/>
      <c r="E44" s="40"/>
      <c r="F44" s="39" t="s">
        <v>16</v>
      </c>
      <c r="G44" s="11">
        <f>IF(AND(F44&lt;&gt;"",F44="Base"),VLOOKUP($C$22,Critérios!$Y$2:$AA$4,2,FALSE),0)+IF(AND(F44&lt;&gt;"",F44="Máximo"),VLOOKUP($C$22,Critérios!$Y$2:$AA$4,3,FALSE),0)</f>
        <v>30</v>
      </c>
      <c r="H44" s="64"/>
      <c r="I44" s="103">
        <f>(G44*H44)+(C44*Critérios!AD9)+(Critérios!AD10*D44)+E44</f>
        <v>0</v>
      </c>
    </row>
    <row r="45" spans="2:9" outlineLevel="1" x14ac:dyDescent="0.35">
      <c r="B45" s="49" t="s">
        <v>128</v>
      </c>
      <c r="C45" s="40"/>
      <c r="D45" s="40"/>
      <c r="E45" s="40"/>
      <c r="F45" s="39" t="s">
        <v>16</v>
      </c>
      <c r="G45" s="11">
        <f>IF(AND(F45&lt;&gt;"",F45="Base"),VLOOKUP($C$22,Critérios!$Y$2:$AA$4,2,FALSE),0)+IF(AND(F45&lt;&gt;"",F45="Máximo"),VLOOKUP($C$22,Critérios!$Y$2:$AA$4,3,FALSE),0)</f>
        <v>30</v>
      </c>
      <c r="H45" s="64"/>
      <c r="I45" s="103">
        <f>(G45*H45)+(C45*Critérios!AD10)+(Critérios!AD11*D45)+E45</f>
        <v>0</v>
      </c>
    </row>
    <row r="46" spans="2:9" outlineLevel="1" x14ac:dyDescent="0.35">
      <c r="B46" s="49" t="s">
        <v>129</v>
      </c>
      <c r="C46" s="40"/>
      <c r="D46" s="40"/>
      <c r="E46" s="40"/>
      <c r="F46" s="39" t="s">
        <v>16</v>
      </c>
      <c r="G46" s="12">
        <f>IF(AND(F46&lt;&gt;"",F46="Base"),VLOOKUP($C$22,Critérios!$Y$2:$AA$4,2,FALSE),0)+IF(AND(F46&lt;&gt;"",F46="Máximo"),VLOOKUP($C$22,Critérios!$Y$2:$AA$4,3,FALSE),0)</f>
        <v>30</v>
      </c>
      <c r="H46" s="64"/>
      <c r="I46" s="103">
        <f>(G46*H46)+(C46*Critérios!AD11)+(Critérios!AD12*D46)+E46</f>
        <v>0</v>
      </c>
    </row>
    <row r="47" spans="2:9" ht="14.15" customHeight="1" outlineLevel="1" x14ac:dyDescent="0.35">
      <c r="B47" s="81" t="s">
        <v>130</v>
      </c>
      <c r="C47" s="82"/>
      <c r="D47" s="82"/>
      <c r="E47" s="82"/>
      <c r="F47" s="81"/>
      <c r="G47" s="82"/>
      <c r="H47" s="102">
        <f>SUBTOTAL(9,H37:H46)</f>
        <v>0</v>
      </c>
      <c r="I47" s="104">
        <f>SUBTOTAL(9,I37:I46)</f>
        <v>0</v>
      </c>
    </row>
    <row r="48" spans="2:9" ht="14.15" customHeight="1" outlineLevel="1" x14ac:dyDescent="0.35">
      <c r="B48" s="81" t="s">
        <v>131</v>
      </c>
      <c r="C48" s="83">
        <f>SUM(C37:C46)</f>
        <v>0</v>
      </c>
      <c r="D48" s="83">
        <f>SUM(D37:D46)</f>
        <v>0</v>
      </c>
      <c r="E48" s="84"/>
      <c r="F48" s="81"/>
      <c r="G48" s="82"/>
      <c r="H48" s="83"/>
      <c r="I48" s="80"/>
    </row>
    <row r="49" spans="2:9" ht="14.15" customHeight="1" outlineLevel="1" x14ac:dyDescent="0.35">
      <c r="B49" s="108" t="s">
        <v>132</v>
      </c>
      <c r="C49" s="109"/>
      <c r="D49" s="109"/>
      <c r="E49" s="109"/>
      <c r="F49" s="108"/>
      <c r="G49" s="110"/>
      <c r="H49" s="111">
        <v>1</v>
      </c>
      <c r="I49" s="104">
        <f>I47*H49</f>
        <v>0</v>
      </c>
    </row>
    <row r="50" spans="2:9" x14ac:dyDescent="0.35">
      <c r="C50" s="14"/>
      <c r="D50" s="14"/>
      <c r="E50" s="14"/>
      <c r="F50" s="15"/>
    </row>
    <row r="51" spans="2:9" ht="18" customHeight="1" x14ac:dyDescent="0.35">
      <c r="B51" s="143" t="s">
        <v>133</v>
      </c>
      <c r="C51" s="143"/>
      <c r="D51" s="143"/>
      <c r="E51" s="143"/>
      <c r="F51" s="143"/>
      <c r="G51" s="143"/>
      <c r="H51" s="144"/>
      <c r="I51" s="45" t="s">
        <v>19</v>
      </c>
    </row>
    <row r="52" spans="2:9" outlineLevel="1" x14ac:dyDescent="0.35">
      <c r="B52" s="30" t="s">
        <v>134</v>
      </c>
      <c r="C52" s="31"/>
      <c r="D52" s="31"/>
      <c r="E52" s="31"/>
      <c r="F52" s="31"/>
      <c r="G52" s="31"/>
      <c r="H52" s="31"/>
      <c r="I52" s="41">
        <v>0</v>
      </c>
    </row>
    <row r="53" spans="2:9" outlineLevel="1" x14ac:dyDescent="0.35">
      <c r="B53" s="25" t="s">
        <v>135</v>
      </c>
      <c r="C53" s="28"/>
      <c r="D53" s="28"/>
      <c r="E53" s="28"/>
      <c r="F53" s="16"/>
      <c r="G53" s="16"/>
      <c r="H53" s="16"/>
      <c r="I53" s="42">
        <v>0</v>
      </c>
    </row>
    <row r="54" spans="2:9" outlineLevel="1" x14ac:dyDescent="0.35">
      <c r="B54" s="25" t="s">
        <v>136</v>
      </c>
      <c r="C54" s="28"/>
      <c r="D54" s="28"/>
      <c r="E54" s="28"/>
      <c r="F54" s="16"/>
      <c r="G54" s="16"/>
      <c r="H54" s="16"/>
      <c r="I54" s="42">
        <v>0</v>
      </c>
    </row>
    <row r="55" spans="2:9" outlineLevel="1" x14ac:dyDescent="0.35">
      <c r="B55" s="25" t="s">
        <v>137</v>
      </c>
      <c r="C55" s="28"/>
      <c r="D55" s="28"/>
      <c r="E55" s="28"/>
      <c r="F55" s="16"/>
      <c r="G55" s="16"/>
      <c r="H55" s="16"/>
      <c r="I55" s="42">
        <v>0</v>
      </c>
    </row>
    <row r="56" spans="2:9" outlineLevel="1" x14ac:dyDescent="0.35">
      <c r="B56" s="25" t="s">
        <v>138</v>
      </c>
      <c r="C56" s="28"/>
      <c r="D56" s="28"/>
      <c r="E56" s="28"/>
      <c r="F56" s="16"/>
      <c r="G56" s="16"/>
      <c r="H56" s="16"/>
      <c r="I56" s="42">
        <v>0</v>
      </c>
    </row>
    <row r="57" spans="2:9" outlineLevel="1" x14ac:dyDescent="0.35">
      <c r="B57" s="25" t="s">
        <v>139</v>
      </c>
      <c r="C57" s="28"/>
      <c r="D57" s="28"/>
      <c r="E57" s="28"/>
      <c r="F57" s="16"/>
      <c r="G57" s="16"/>
      <c r="H57" s="16"/>
      <c r="I57" s="42">
        <v>0</v>
      </c>
    </row>
    <row r="58" spans="2:9" outlineLevel="1" x14ac:dyDescent="0.35">
      <c r="B58" s="25" t="s">
        <v>140</v>
      </c>
      <c r="C58" s="28"/>
      <c r="D58" s="28"/>
      <c r="E58" s="28"/>
      <c r="F58" s="16"/>
      <c r="G58" s="16"/>
      <c r="H58" s="16"/>
      <c r="I58" s="42">
        <v>0</v>
      </c>
    </row>
    <row r="59" spans="2:9" outlineLevel="1" x14ac:dyDescent="0.35">
      <c r="B59" s="25" t="s">
        <v>141</v>
      </c>
      <c r="C59" s="28"/>
      <c r="D59" s="28"/>
      <c r="E59" s="28"/>
      <c r="F59" s="16"/>
      <c r="G59" s="16"/>
      <c r="H59" s="16"/>
      <c r="I59" s="42">
        <v>0</v>
      </c>
    </row>
    <row r="60" spans="2:9" outlineLevel="1" x14ac:dyDescent="0.35">
      <c r="B60" s="25" t="s">
        <v>142</v>
      </c>
      <c r="C60" s="25"/>
      <c r="D60" s="28"/>
      <c r="E60" s="28"/>
      <c r="F60" s="16"/>
      <c r="G60" s="16"/>
      <c r="H60" s="16"/>
      <c r="I60" s="42">
        <v>0</v>
      </c>
    </row>
    <row r="61" spans="2:9" outlineLevel="1" x14ac:dyDescent="0.35">
      <c r="B61" s="25" t="s">
        <v>29</v>
      </c>
      <c r="C61" s="28"/>
      <c r="D61" s="28"/>
      <c r="E61" s="28"/>
      <c r="F61" s="16"/>
      <c r="G61" s="16"/>
      <c r="H61" s="16"/>
      <c r="I61" s="42">
        <v>0</v>
      </c>
    </row>
    <row r="62" spans="2:9" outlineLevel="1" x14ac:dyDescent="0.35">
      <c r="B62" s="25" t="s">
        <v>22</v>
      </c>
      <c r="C62" s="28"/>
      <c r="D62" s="28"/>
      <c r="E62" s="28"/>
      <c r="F62" s="16"/>
      <c r="G62" s="16"/>
      <c r="H62" s="16"/>
      <c r="I62" s="42">
        <v>0</v>
      </c>
    </row>
    <row r="63" spans="2:9" outlineLevel="1" x14ac:dyDescent="0.35">
      <c r="B63" s="25" t="s">
        <v>143</v>
      </c>
      <c r="C63" s="28"/>
      <c r="D63" s="28"/>
      <c r="E63" s="28"/>
      <c r="F63" s="16"/>
      <c r="G63" s="16"/>
      <c r="H63" s="16"/>
      <c r="I63" s="42">
        <v>0</v>
      </c>
    </row>
    <row r="64" spans="2:9" outlineLevel="1" x14ac:dyDescent="0.35">
      <c r="B64" s="25" t="s">
        <v>144</v>
      </c>
      <c r="C64" s="28"/>
      <c r="D64" s="28"/>
      <c r="E64" s="28"/>
      <c r="F64" s="16"/>
      <c r="G64" s="16"/>
      <c r="H64" s="16"/>
      <c r="I64" s="42">
        <v>0</v>
      </c>
    </row>
    <row r="65" spans="2:9" outlineLevel="1" x14ac:dyDescent="0.35">
      <c r="B65" s="25" t="s">
        <v>145</v>
      </c>
      <c r="C65" s="28"/>
      <c r="D65" s="28"/>
      <c r="E65" s="28"/>
      <c r="F65" s="16"/>
      <c r="G65" s="16"/>
      <c r="H65" s="16"/>
      <c r="I65" s="42">
        <v>0</v>
      </c>
    </row>
    <row r="66" spans="2:9" outlineLevel="1" x14ac:dyDescent="0.35">
      <c r="B66" s="25" t="s">
        <v>146</v>
      </c>
      <c r="C66" s="28"/>
      <c r="D66" s="28"/>
      <c r="E66" s="28"/>
      <c r="F66" s="16"/>
      <c r="G66" s="16"/>
      <c r="H66" s="16"/>
      <c r="I66" s="42">
        <v>0</v>
      </c>
    </row>
    <row r="67" spans="2:9" outlineLevel="1" x14ac:dyDescent="0.35">
      <c r="B67" s="32" t="s">
        <v>147</v>
      </c>
      <c r="C67" s="33"/>
      <c r="D67" s="33"/>
      <c r="E67" s="33"/>
      <c r="F67" s="33"/>
      <c r="G67" s="34"/>
      <c r="H67" s="34"/>
      <c r="I67" s="12">
        <f>SUBTOTAL(9,I68:I73)</f>
        <v>0</v>
      </c>
    </row>
    <row r="68" spans="2:9" outlineLevel="1" x14ac:dyDescent="0.35">
      <c r="B68" s="131" t="s">
        <v>215</v>
      </c>
      <c r="C68" s="131"/>
      <c r="D68" s="131"/>
      <c r="E68" s="131"/>
      <c r="F68" s="131"/>
      <c r="G68" s="131"/>
      <c r="H68" s="132"/>
      <c r="I68" s="42">
        <v>0</v>
      </c>
    </row>
    <row r="69" spans="2:9" outlineLevel="1" x14ac:dyDescent="0.35">
      <c r="B69" s="131" t="s">
        <v>216</v>
      </c>
      <c r="C69" s="131"/>
      <c r="D69" s="131"/>
      <c r="E69" s="131"/>
      <c r="F69" s="131"/>
      <c r="G69" s="131"/>
      <c r="H69" s="132"/>
      <c r="I69" s="42">
        <v>0</v>
      </c>
    </row>
    <row r="70" spans="2:9" outlineLevel="1" x14ac:dyDescent="0.35">
      <c r="B70" s="131" t="s">
        <v>148</v>
      </c>
      <c r="C70" s="131"/>
      <c r="D70" s="131"/>
      <c r="E70" s="131"/>
      <c r="F70" s="131"/>
      <c r="G70" s="131"/>
      <c r="H70" s="132"/>
      <c r="I70" s="42">
        <v>0</v>
      </c>
    </row>
    <row r="71" spans="2:9" outlineLevel="1" x14ac:dyDescent="0.35">
      <c r="B71" s="131" t="s">
        <v>149</v>
      </c>
      <c r="C71" s="131"/>
      <c r="D71" s="131"/>
      <c r="E71" s="131"/>
      <c r="F71" s="131"/>
      <c r="G71" s="131"/>
      <c r="H71" s="132"/>
      <c r="I71" s="42">
        <v>0</v>
      </c>
    </row>
    <row r="72" spans="2:9" outlineLevel="1" x14ac:dyDescent="0.35">
      <c r="B72" s="131" t="s">
        <v>150</v>
      </c>
      <c r="C72" s="131"/>
      <c r="D72" s="131"/>
      <c r="E72" s="131"/>
      <c r="F72" s="131"/>
      <c r="G72" s="131"/>
      <c r="H72" s="132"/>
      <c r="I72" s="42">
        <v>0</v>
      </c>
    </row>
    <row r="73" spans="2:9" outlineLevel="1" x14ac:dyDescent="0.35">
      <c r="B73" s="131" t="s">
        <v>151</v>
      </c>
      <c r="C73" s="131"/>
      <c r="D73" s="131"/>
      <c r="E73" s="131"/>
      <c r="F73" s="131"/>
      <c r="G73" s="131"/>
      <c r="H73" s="132"/>
      <c r="I73" s="42">
        <v>0</v>
      </c>
    </row>
    <row r="74" spans="2:9" ht="20.5" customHeight="1" outlineLevel="1" x14ac:dyDescent="0.35">
      <c r="B74" s="145" t="s">
        <v>152</v>
      </c>
      <c r="C74" s="145"/>
      <c r="D74" s="145"/>
      <c r="E74" s="145"/>
      <c r="F74" s="145"/>
      <c r="G74" s="145"/>
      <c r="H74" s="146"/>
      <c r="I74" s="80">
        <f>SUBTOTAL(9,I52:I73)</f>
        <v>0</v>
      </c>
    </row>
    <row r="75" spans="2:9" ht="14.15" customHeight="1" outlineLevel="1" x14ac:dyDescent="0.35">
      <c r="B75" s="108" t="s">
        <v>132</v>
      </c>
      <c r="C75" s="109"/>
      <c r="D75" s="109"/>
      <c r="E75" s="109"/>
      <c r="F75" s="108"/>
      <c r="G75" s="110"/>
      <c r="H75" s="111">
        <v>1</v>
      </c>
      <c r="I75" s="80">
        <f>I74*H75</f>
        <v>0</v>
      </c>
    </row>
    <row r="76" spans="2:9" ht="10" customHeight="1" x14ac:dyDescent="0.35"/>
    <row r="77" spans="2:9" ht="10" customHeight="1" x14ac:dyDescent="0.35">
      <c r="I77" s="10"/>
    </row>
    <row r="78" spans="2:9" ht="18" customHeight="1" x14ac:dyDescent="0.35">
      <c r="B78" s="143" t="s">
        <v>153</v>
      </c>
      <c r="C78" s="143"/>
      <c r="D78" s="143"/>
      <c r="E78" s="143"/>
      <c r="F78" s="143"/>
      <c r="G78" s="143"/>
      <c r="H78" s="144"/>
      <c r="I78" s="44" t="s">
        <v>19</v>
      </c>
    </row>
    <row r="79" spans="2:9" ht="10" customHeight="1" x14ac:dyDescent="0.35">
      <c r="B79" s="50" t="s">
        <v>154</v>
      </c>
      <c r="C79" s="50"/>
      <c r="D79" s="50" t="s">
        <v>19</v>
      </c>
      <c r="E79" s="50"/>
      <c r="F79" s="50"/>
      <c r="G79" s="56" t="s">
        <v>155</v>
      </c>
      <c r="H79" s="55"/>
      <c r="I79" s="42"/>
    </row>
    <row r="80" spans="2:9" ht="10" customHeight="1" outlineLevel="1" x14ac:dyDescent="0.35">
      <c r="B80" s="67" t="s">
        <v>156</v>
      </c>
      <c r="C80" s="54"/>
      <c r="D80" s="20">
        <v>0</v>
      </c>
      <c r="E80" s="20"/>
      <c r="F80" s="54"/>
      <c r="G80" s="54">
        <v>4</v>
      </c>
      <c r="H80" s="54"/>
      <c r="I80" s="42">
        <f>D80/G80</f>
        <v>0</v>
      </c>
    </row>
    <row r="81" spans="2:12" ht="10" customHeight="1" outlineLevel="1" x14ac:dyDescent="0.35">
      <c r="B81" s="67" t="s">
        <v>157</v>
      </c>
      <c r="C81" s="54"/>
      <c r="D81" s="20"/>
      <c r="E81" s="20"/>
      <c r="F81" s="54"/>
      <c r="G81" s="54"/>
      <c r="H81" s="54"/>
      <c r="I81" s="42"/>
    </row>
    <row r="82" spans="2:12" ht="10" customHeight="1" outlineLevel="1" x14ac:dyDescent="0.35">
      <c r="B82" s="54"/>
      <c r="C82" s="54"/>
      <c r="D82" s="20"/>
      <c r="E82" s="20"/>
      <c r="F82" s="54"/>
      <c r="G82" s="54"/>
      <c r="H82" s="54"/>
      <c r="I82" s="42"/>
    </row>
    <row r="83" spans="2:12" ht="19" customHeight="1" outlineLevel="1" x14ac:dyDescent="0.35">
      <c r="B83" s="145" t="s">
        <v>158</v>
      </c>
      <c r="C83" s="145"/>
      <c r="D83" s="145"/>
      <c r="E83" s="145"/>
      <c r="F83" s="145"/>
      <c r="G83" s="145"/>
      <c r="H83" s="146"/>
      <c r="I83" s="80">
        <f>SUBTOTAL(9,I80:I82)</f>
        <v>0</v>
      </c>
    </row>
    <row r="84" spans="2:12" ht="14.15" customHeight="1" outlineLevel="1" x14ac:dyDescent="0.35">
      <c r="B84" s="108" t="s">
        <v>132</v>
      </c>
      <c r="C84" s="109"/>
      <c r="D84" s="109"/>
      <c r="E84" s="109"/>
      <c r="F84" s="108"/>
      <c r="G84" s="110"/>
      <c r="H84" s="111">
        <v>1</v>
      </c>
      <c r="I84" s="80">
        <f>I83*H84</f>
        <v>0</v>
      </c>
    </row>
    <row r="85" spans="2:12" ht="10" customHeight="1" x14ac:dyDescent="0.35">
      <c r="I85" s="10"/>
    </row>
    <row r="86" spans="2:12" ht="16" customHeight="1" x14ac:dyDescent="0.35">
      <c r="B86" s="74" t="s">
        <v>159</v>
      </c>
      <c r="C86" s="74"/>
      <c r="D86" s="74"/>
      <c r="E86" s="74"/>
      <c r="F86" s="74"/>
      <c r="G86" s="74"/>
      <c r="H86" s="74"/>
      <c r="I86" s="107">
        <f>I83+I74+I47</f>
        <v>0</v>
      </c>
    </row>
    <row r="89" spans="2:12" ht="34.5" customHeight="1" x14ac:dyDescent="0.35">
      <c r="B89" s="112" t="s">
        <v>204</v>
      </c>
      <c r="C89" s="113" t="s">
        <v>203</v>
      </c>
      <c r="D89" s="106" t="s">
        <v>202</v>
      </c>
      <c r="E89" s="138" t="s">
        <v>220</v>
      </c>
      <c r="F89" s="113" t="s">
        <v>160</v>
      </c>
      <c r="G89" s="113" t="s">
        <v>161</v>
      </c>
      <c r="H89" s="113" t="s">
        <v>162</v>
      </c>
      <c r="I89" s="113" t="s">
        <v>213</v>
      </c>
      <c r="J89" s="121" t="s">
        <v>163</v>
      </c>
      <c r="K89" s="113" t="s">
        <v>164</v>
      </c>
      <c r="L89" s="113" t="s">
        <v>165</v>
      </c>
    </row>
    <row r="90" spans="2:12" ht="12" customHeight="1" x14ac:dyDescent="0.35">
      <c r="B90" s="128" t="s">
        <v>166</v>
      </c>
      <c r="C90" s="116">
        <f>IF($I$20="SIM",0,1)</f>
        <v>1</v>
      </c>
      <c r="D90" s="133"/>
      <c r="E90" s="133"/>
      <c r="F90" s="114"/>
      <c r="G90" s="17"/>
      <c r="H90" s="120"/>
      <c r="I90" s="120"/>
      <c r="J90" s="91"/>
      <c r="K90" s="120"/>
      <c r="L90" s="120"/>
    </row>
    <row r="91" spans="2:12" x14ac:dyDescent="0.35">
      <c r="B91" s="97" t="s">
        <v>218</v>
      </c>
      <c r="C91" s="11">
        <f>CEILING(I28*M,0.5)</f>
        <v>30</v>
      </c>
      <c r="D91" s="136">
        <v>3</v>
      </c>
      <c r="E91" s="134">
        <f>CEILING(C91*D91,0.5)</f>
        <v>90</v>
      </c>
      <c r="F91" s="99"/>
      <c r="G91" s="17">
        <f t="shared" ref="G91:G95" si="0">VLOOKUP($G$18,$F$15:$I$17,4,FALSE)*M</f>
        <v>75</v>
      </c>
      <c r="H91" s="99">
        <f>E91*G91</f>
        <v>6750</v>
      </c>
      <c r="I91" s="99">
        <f>E91</f>
        <v>90</v>
      </c>
      <c r="J91" s="137">
        <v>1</v>
      </c>
      <c r="K91" s="99">
        <f t="shared" ref="K91:K92" si="1">I91*J91</f>
        <v>90</v>
      </c>
      <c r="L91" s="99">
        <f>K91*G91</f>
        <v>6750</v>
      </c>
    </row>
    <row r="92" spans="2:12" x14ac:dyDescent="0.35">
      <c r="B92" s="97" t="s">
        <v>219</v>
      </c>
      <c r="C92" s="11">
        <f>CEILING(I32*M,0.5)</f>
        <v>45</v>
      </c>
      <c r="D92" s="136">
        <v>3</v>
      </c>
      <c r="E92" s="134">
        <f>CEILING((C92*D92),0.5)</f>
        <v>135</v>
      </c>
      <c r="F92" s="99"/>
      <c r="G92" s="17">
        <f t="shared" si="0"/>
        <v>75</v>
      </c>
      <c r="H92" s="99">
        <f>E92*G92</f>
        <v>10125</v>
      </c>
      <c r="I92" s="99">
        <f>E92</f>
        <v>135</v>
      </c>
      <c r="J92" s="137">
        <v>1</v>
      </c>
      <c r="K92" s="99">
        <f t="shared" si="1"/>
        <v>135</v>
      </c>
      <c r="L92" s="99">
        <f t="shared" ref="L92" si="2">K92*G92</f>
        <v>10125</v>
      </c>
    </row>
    <row r="93" spans="2:12" x14ac:dyDescent="0.35">
      <c r="B93" s="97" t="s">
        <v>167</v>
      </c>
      <c r="C93" s="11"/>
      <c r="D93" s="90">
        <v>1</v>
      </c>
      <c r="E93" s="134">
        <f t="shared" ref="E93:E95" si="3">C93*D93</f>
        <v>0</v>
      </c>
      <c r="F93" s="99">
        <f>I47*M</f>
        <v>0</v>
      </c>
      <c r="G93" s="17">
        <f t="shared" si="0"/>
        <v>75</v>
      </c>
      <c r="H93" s="99">
        <f>F93*D93</f>
        <v>0</v>
      </c>
      <c r="I93" s="99">
        <f>IFERROR(H93/G93,0)</f>
        <v>0</v>
      </c>
      <c r="J93" s="91"/>
      <c r="K93" s="99"/>
      <c r="L93" s="99"/>
    </row>
    <row r="94" spans="2:12" x14ac:dyDescent="0.35">
      <c r="B94" s="97" t="s">
        <v>168</v>
      </c>
      <c r="C94" s="11"/>
      <c r="D94" s="90">
        <v>1</v>
      </c>
      <c r="E94" s="134">
        <f t="shared" si="3"/>
        <v>0</v>
      </c>
      <c r="F94" s="99">
        <f>I74*M</f>
        <v>0</v>
      </c>
      <c r="G94" s="17">
        <f t="shared" si="0"/>
        <v>75</v>
      </c>
      <c r="H94" s="99">
        <f>F94*D94</f>
        <v>0</v>
      </c>
      <c r="I94" s="99">
        <f>IFERROR(H94/G94,0)</f>
        <v>0</v>
      </c>
      <c r="J94" s="91"/>
      <c r="K94" s="99"/>
      <c r="L94" s="99"/>
    </row>
    <row r="95" spans="2:12" x14ac:dyDescent="0.35">
      <c r="B95" s="97" t="s">
        <v>169</v>
      </c>
      <c r="C95" s="11"/>
      <c r="D95" s="90">
        <v>1</v>
      </c>
      <c r="E95" s="134">
        <f t="shared" si="3"/>
        <v>0</v>
      </c>
      <c r="F95" s="99">
        <f>I84*M</f>
        <v>0</v>
      </c>
      <c r="G95" s="17">
        <f t="shared" si="0"/>
        <v>75</v>
      </c>
      <c r="H95" s="99">
        <f>F95*D95</f>
        <v>0</v>
      </c>
      <c r="I95" s="99">
        <f>IFERROR(H95/G95,0)</f>
        <v>0</v>
      </c>
      <c r="J95" s="91"/>
      <c r="K95" s="99"/>
      <c r="L95" s="99"/>
    </row>
    <row r="96" spans="2:12" x14ac:dyDescent="0.35">
      <c r="B96" s="97"/>
      <c r="C96" s="11"/>
      <c r="D96" s="90"/>
      <c r="E96" s="134"/>
      <c r="F96" s="99"/>
      <c r="G96" s="17"/>
      <c r="H96" s="99"/>
      <c r="I96" s="99"/>
      <c r="J96" s="91"/>
      <c r="K96" s="99"/>
      <c r="L96" s="99"/>
    </row>
    <row r="97" spans="2:21" x14ac:dyDescent="0.35">
      <c r="B97" s="97"/>
      <c r="C97" s="11"/>
      <c r="D97" s="11"/>
      <c r="E97" s="11"/>
      <c r="F97" s="99"/>
      <c r="G97" s="17"/>
      <c r="H97" s="99"/>
      <c r="I97" s="99"/>
      <c r="J97" s="91"/>
      <c r="K97" s="99"/>
      <c r="L97" s="99"/>
    </row>
    <row r="98" spans="2:21" ht="17.5" customHeight="1" x14ac:dyDescent="0.35">
      <c r="B98" s="117" t="s">
        <v>217</v>
      </c>
      <c r="C98" s="119">
        <f>SUBTOTAL(9,C91:C96)</f>
        <v>75</v>
      </c>
      <c r="D98" s="135"/>
      <c r="E98" s="130">
        <f>SUBTOTAL(9,E91:E96)</f>
        <v>225</v>
      </c>
      <c r="F98" s="119">
        <f>SUBTOTAL(9,F91:F96)</f>
        <v>0</v>
      </c>
      <c r="G98" s="118"/>
      <c r="H98" s="119">
        <f>SUBTOTAL(9,H91:H96)</f>
        <v>16875</v>
      </c>
      <c r="I98" s="119">
        <f>SUBTOTAL(9,I91:I96)</f>
        <v>225</v>
      </c>
      <c r="J98" s="122"/>
      <c r="K98" s="130">
        <f>SUBTOTAL(9,K91:K96)</f>
        <v>225</v>
      </c>
      <c r="L98" s="119">
        <f>SUBTOTAL(9,L91:L96)</f>
        <v>16875</v>
      </c>
      <c r="M98" s="70"/>
    </row>
    <row r="99" spans="2:21" x14ac:dyDescent="0.35">
      <c r="G99" s="70"/>
      <c r="I99" s="10"/>
    </row>
    <row r="100" spans="2:21" ht="39.65" customHeight="1" x14ac:dyDescent="0.35">
      <c r="B100" s="74" t="s">
        <v>205</v>
      </c>
      <c r="C100" s="106" t="s">
        <v>170</v>
      </c>
      <c r="D100" s="106" t="s">
        <v>171</v>
      </c>
      <c r="E100" s="106" t="s">
        <v>172</v>
      </c>
      <c r="F100" s="106" t="s">
        <v>173</v>
      </c>
      <c r="G100" s="106" t="s">
        <v>174</v>
      </c>
      <c r="H100" s="106" t="s">
        <v>175</v>
      </c>
      <c r="I100" s="106" t="s">
        <v>176</v>
      </c>
      <c r="J100" s="106" t="s">
        <v>177</v>
      </c>
      <c r="K100" s="106" t="s">
        <v>178</v>
      </c>
      <c r="L100" s="106" t="s">
        <v>179</v>
      </c>
    </row>
    <row r="101" spans="2:21" ht="12" customHeight="1" x14ac:dyDescent="0.35">
      <c r="B101" s="115" t="s">
        <v>180</v>
      </c>
      <c r="C101" s="116">
        <f>IF($I$20="SIM",1,0)</f>
        <v>0</v>
      </c>
      <c r="D101" s="116"/>
      <c r="E101" s="90"/>
      <c r="F101" s="129"/>
      <c r="G101" s="11"/>
      <c r="H101" s="11"/>
      <c r="I101" s="11"/>
      <c r="J101" s="11"/>
      <c r="K101" s="11"/>
      <c r="L101" s="11"/>
    </row>
    <row r="102" spans="2:21" x14ac:dyDescent="0.35">
      <c r="B102" s="97" t="s">
        <v>181</v>
      </c>
      <c r="C102" s="96"/>
      <c r="D102" s="90">
        <v>1</v>
      </c>
      <c r="E102" s="90"/>
      <c r="F102" s="129"/>
      <c r="G102" s="11"/>
      <c r="H102" s="11">
        <f>10*MM*$D102</f>
        <v>0</v>
      </c>
      <c r="I102" s="11"/>
      <c r="J102" s="11"/>
      <c r="K102" s="11"/>
      <c r="L102" s="11">
        <f>SUM(G102:K102)</f>
        <v>0</v>
      </c>
      <c r="U102" s="70"/>
    </row>
    <row r="103" spans="2:21" x14ac:dyDescent="0.35">
      <c r="B103" s="97" t="str">
        <f>IF(I14&gt;=1,"Módulo 1","")</f>
        <v/>
      </c>
      <c r="C103" s="96">
        <v>1</v>
      </c>
      <c r="D103" s="90">
        <v>1</v>
      </c>
      <c r="E103" s="90">
        <v>0</v>
      </c>
      <c r="F103" s="129">
        <v>0</v>
      </c>
      <c r="G103" s="11">
        <f>IF(B103="",0,IFERROR(VLOOKUP(E103,Critérios!$D$18:$E$81,2,FALSE),0))*MM*$D103</f>
        <v>0</v>
      </c>
      <c r="H103" s="11">
        <f t="shared" ref="H103:H114" si="4">IF(AND($E103&gt;0,$B103&lt;&gt;""),$I$28+$I$32,0)*MM*$D103</f>
        <v>0</v>
      </c>
      <c r="I103" s="11">
        <f t="shared" ref="I103:I114" si="5">IFERROR(($I$47/VLOOKUP($G$18,$F$15:$I$17,4,FALSE))/$E$115*$E103*MM,0)*$D103</f>
        <v>0</v>
      </c>
      <c r="J103" s="11">
        <f t="shared" ref="J103:J114" si="6">IFERROR(($I$74/VLOOKUP($G$18,$F$15:$I$17,4,FALSE))/$E$115*$E103*MM,0)*$D103</f>
        <v>0</v>
      </c>
      <c r="K103" s="11">
        <f t="shared" ref="K103:K114" si="7">IFERROR(($I$83/VLOOKUP($G$18,$F$15:$I$17,4,FALSE))/$E$115*$E103*MM,0)*D103</f>
        <v>0</v>
      </c>
      <c r="L103" s="11">
        <f t="shared" ref="L103:L114" si="8">SUM(G103:K103)</f>
        <v>0</v>
      </c>
      <c r="U103" s="70"/>
    </row>
    <row r="104" spans="2:21" x14ac:dyDescent="0.35">
      <c r="B104" s="97" t="str">
        <f>IF(I14&gt;=2,"Módulo 2","")</f>
        <v/>
      </c>
      <c r="C104" s="96">
        <v>2</v>
      </c>
      <c r="D104" s="90">
        <v>1</v>
      </c>
      <c r="E104" s="90">
        <v>0</v>
      </c>
      <c r="F104" s="129">
        <v>0</v>
      </c>
      <c r="G104" s="11">
        <f>IF(B104="",0,IFERROR(VLOOKUP(E104,Critérios!$D$18:$E$81,2,FALSE),0))*MM*$D104</f>
        <v>0</v>
      </c>
      <c r="H104" s="11">
        <f t="shared" si="4"/>
        <v>0</v>
      </c>
      <c r="I104" s="11">
        <f t="shared" si="5"/>
        <v>0</v>
      </c>
      <c r="J104" s="11">
        <f t="shared" si="6"/>
        <v>0</v>
      </c>
      <c r="K104" s="11">
        <f t="shared" si="7"/>
        <v>0</v>
      </c>
      <c r="L104" s="11">
        <f t="shared" si="8"/>
        <v>0</v>
      </c>
      <c r="U104" s="70"/>
    </row>
    <row r="105" spans="2:21" x14ac:dyDescent="0.35">
      <c r="B105" s="97" t="str">
        <f>IF(I14&gt;=3,"Módulo 3","")</f>
        <v/>
      </c>
      <c r="C105" s="96">
        <v>3</v>
      </c>
      <c r="D105" s="90">
        <v>1</v>
      </c>
      <c r="E105" s="90">
        <v>0</v>
      </c>
      <c r="F105" s="129">
        <v>0</v>
      </c>
      <c r="G105" s="11">
        <f>IF(B105="",0,IFERROR(VLOOKUP(E105,Critérios!$D$18:$E$81,2,FALSE),0))*MM</f>
        <v>0</v>
      </c>
      <c r="H105" s="11">
        <f t="shared" si="4"/>
        <v>0</v>
      </c>
      <c r="I105" s="11">
        <f t="shared" si="5"/>
        <v>0</v>
      </c>
      <c r="J105" s="11">
        <f t="shared" si="6"/>
        <v>0</v>
      </c>
      <c r="K105" s="11">
        <f t="shared" si="7"/>
        <v>0</v>
      </c>
      <c r="L105" s="11">
        <f t="shared" si="8"/>
        <v>0</v>
      </c>
      <c r="U105" s="70"/>
    </row>
    <row r="106" spans="2:21" x14ac:dyDescent="0.35">
      <c r="B106" s="97" t="str">
        <f>IF(I14&gt;=4,"Módulo 4","")</f>
        <v/>
      </c>
      <c r="C106" s="96">
        <v>4</v>
      </c>
      <c r="D106" s="90">
        <v>1</v>
      </c>
      <c r="E106" s="90">
        <v>0</v>
      </c>
      <c r="F106" s="129">
        <v>0</v>
      </c>
      <c r="G106" s="11">
        <f>IF(B106="",0,IFERROR(VLOOKUP(E106,Critérios!$D$18:$E$81,2,FALSE),0))*MM</f>
        <v>0</v>
      </c>
      <c r="H106" s="11">
        <f t="shared" si="4"/>
        <v>0</v>
      </c>
      <c r="I106" s="11">
        <f t="shared" si="5"/>
        <v>0</v>
      </c>
      <c r="J106" s="11">
        <f t="shared" si="6"/>
        <v>0</v>
      </c>
      <c r="K106" s="11">
        <f t="shared" si="7"/>
        <v>0</v>
      </c>
      <c r="L106" s="11">
        <f t="shared" si="8"/>
        <v>0</v>
      </c>
      <c r="U106" s="70"/>
    </row>
    <row r="107" spans="2:21" x14ac:dyDescent="0.35">
      <c r="B107" s="97" t="str">
        <f>IF(I14&gt;=5,"Módulo 5","")</f>
        <v/>
      </c>
      <c r="C107" s="96">
        <v>5</v>
      </c>
      <c r="D107" s="90">
        <v>1</v>
      </c>
      <c r="E107" s="90">
        <v>0</v>
      </c>
      <c r="F107" s="129">
        <v>0</v>
      </c>
      <c r="G107" s="11">
        <f>IF(B107="",0,IFERROR(VLOOKUP(E107,Critérios!$D$18:$E$81,2,FALSE),0))*MM</f>
        <v>0</v>
      </c>
      <c r="H107" s="11">
        <f t="shared" si="4"/>
        <v>0</v>
      </c>
      <c r="I107" s="11">
        <f t="shared" si="5"/>
        <v>0</v>
      </c>
      <c r="J107" s="11">
        <f t="shared" si="6"/>
        <v>0</v>
      </c>
      <c r="K107" s="11">
        <f t="shared" si="7"/>
        <v>0</v>
      </c>
      <c r="L107" s="11">
        <f t="shared" si="8"/>
        <v>0</v>
      </c>
      <c r="U107" s="70"/>
    </row>
    <row r="108" spans="2:21" x14ac:dyDescent="0.35">
      <c r="B108" s="97" t="str">
        <f>IF(I14&gt;=6,"Módulo 6","")</f>
        <v/>
      </c>
      <c r="C108" s="96">
        <v>6</v>
      </c>
      <c r="D108" s="90">
        <v>1</v>
      </c>
      <c r="E108" s="90">
        <v>0</v>
      </c>
      <c r="F108" s="129">
        <v>0</v>
      </c>
      <c r="G108" s="11">
        <f>IF(B108="",0,IFERROR(VLOOKUP(E108,Critérios!$D$18:$E$81,2,FALSE),0))*MM</f>
        <v>0</v>
      </c>
      <c r="H108" s="11">
        <f t="shared" si="4"/>
        <v>0</v>
      </c>
      <c r="I108" s="11">
        <f t="shared" si="5"/>
        <v>0</v>
      </c>
      <c r="J108" s="11">
        <f t="shared" si="6"/>
        <v>0</v>
      </c>
      <c r="K108" s="11">
        <f t="shared" si="7"/>
        <v>0</v>
      </c>
      <c r="L108" s="11">
        <f t="shared" si="8"/>
        <v>0</v>
      </c>
      <c r="U108" s="70"/>
    </row>
    <row r="109" spans="2:21" x14ac:dyDescent="0.35">
      <c r="B109" s="97" t="str">
        <f>IF(I14&gt;=7,"Módulo 7","")</f>
        <v/>
      </c>
      <c r="C109" s="96">
        <v>7</v>
      </c>
      <c r="D109" s="90">
        <v>1</v>
      </c>
      <c r="E109" s="90">
        <v>0</v>
      </c>
      <c r="F109" s="129">
        <v>0</v>
      </c>
      <c r="G109" s="11">
        <f>IF(B109="",0,IFERROR(VLOOKUP(E109,Critérios!$D$18:$E$81,2,FALSE),0))*MM</f>
        <v>0</v>
      </c>
      <c r="H109" s="11">
        <f t="shared" si="4"/>
        <v>0</v>
      </c>
      <c r="I109" s="11">
        <f t="shared" si="5"/>
        <v>0</v>
      </c>
      <c r="J109" s="11">
        <f t="shared" si="6"/>
        <v>0</v>
      </c>
      <c r="K109" s="11">
        <f t="shared" si="7"/>
        <v>0</v>
      </c>
      <c r="L109" s="11">
        <f t="shared" si="8"/>
        <v>0</v>
      </c>
      <c r="U109" s="70"/>
    </row>
    <row r="110" spans="2:21" x14ac:dyDescent="0.35">
      <c r="B110" s="97" t="str">
        <f>IF(I14&gt;=8,"Módulo 8","")</f>
        <v/>
      </c>
      <c r="C110" s="96">
        <v>8</v>
      </c>
      <c r="D110" s="90">
        <v>1</v>
      </c>
      <c r="E110" s="90">
        <v>0</v>
      </c>
      <c r="F110" s="129">
        <v>0</v>
      </c>
      <c r="G110" s="11">
        <f>IF(B110="",0,IFERROR(VLOOKUP(E110,Critérios!$D$18:$E$81,2,FALSE),0))*MM</f>
        <v>0</v>
      </c>
      <c r="H110" s="11">
        <f t="shared" si="4"/>
        <v>0</v>
      </c>
      <c r="I110" s="11">
        <f t="shared" si="5"/>
        <v>0</v>
      </c>
      <c r="J110" s="11">
        <f t="shared" si="6"/>
        <v>0</v>
      </c>
      <c r="K110" s="11">
        <f t="shared" si="7"/>
        <v>0</v>
      </c>
      <c r="L110" s="11">
        <f t="shared" si="8"/>
        <v>0</v>
      </c>
    </row>
    <row r="111" spans="2:21" x14ac:dyDescent="0.35">
      <c r="B111" s="97" t="str">
        <f>IF(I14&gt;=9,"Módulo 9","")</f>
        <v/>
      </c>
      <c r="C111" s="96">
        <v>9</v>
      </c>
      <c r="D111" s="90">
        <v>1</v>
      </c>
      <c r="E111" s="90">
        <v>0</v>
      </c>
      <c r="F111" s="129">
        <v>0</v>
      </c>
      <c r="G111" s="11">
        <f>IF(B111="",0,IFERROR(VLOOKUP(E111,Critérios!$D$18:$E$81,2,FALSE),0))*MM</f>
        <v>0</v>
      </c>
      <c r="H111" s="11">
        <f t="shared" si="4"/>
        <v>0</v>
      </c>
      <c r="I111" s="11">
        <f t="shared" si="5"/>
        <v>0</v>
      </c>
      <c r="J111" s="11">
        <f t="shared" si="6"/>
        <v>0</v>
      </c>
      <c r="K111" s="11">
        <f t="shared" si="7"/>
        <v>0</v>
      </c>
      <c r="L111" s="11">
        <f t="shared" si="8"/>
        <v>0</v>
      </c>
    </row>
    <row r="112" spans="2:21" x14ac:dyDescent="0.35">
      <c r="B112" s="97" t="str">
        <f>IF(I14&gt;=10,"Módulo 10","")</f>
        <v/>
      </c>
      <c r="C112" s="96">
        <v>10</v>
      </c>
      <c r="D112" s="90">
        <v>1</v>
      </c>
      <c r="E112" s="90">
        <v>0</v>
      </c>
      <c r="F112" s="129">
        <v>0</v>
      </c>
      <c r="G112" s="11">
        <f>IF(B112="",0,IFERROR(VLOOKUP(E112,Critérios!$D$18:$E$81,2,FALSE),0))*MM</f>
        <v>0</v>
      </c>
      <c r="H112" s="11">
        <f t="shared" si="4"/>
        <v>0</v>
      </c>
      <c r="I112" s="11">
        <f t="shared" si="5"/>
        <v>0</v>
      </c>
      <c r="J112" s="11">
        <f t="shared" si="6"/>
        <v>0</v>
      </c>
      <c r="K112" s="11">
        <f t="shared" si="7"/>
        <v>0</v>
      </c>
      <c r="L112" s="11">
        <f t="shared" si="8"/>
        <v>0</v>
      </c>
    </row>
    <row r="113" spans="2:21" x14ac:dyDescent="0.35">
      <c r="B113" s="97" t="str">
        <f>IF(I14&gt;=11,"Módulo 11","")</f>
        <v/>
      </c>
      <c r="C113" s="96">
        <v>11</v>
      </c>
      <c r="D113" s="90">
        <v>1</v>
      </c>
      <c r="E113" s="90">
        <v>0</v>
      </c>
      <c r="F113" s="129">
        <v>0</v>
      </c>
      <c r="G113" s="11">
        <f>IF(B113="",0,IFERROR(VLOOKUP(E113,Critérios!$D$18:$E$81,2,FALSE),0))*MM</f>
        <v>0</v>
      </c>
      <c r="H113" s="11">
        <f t="shared" si="4"/>
        <v>0</v>
      </c>
      <c r="I113" s="11">
        <f t="shared" si="5"/>
        <v>0</v>
      </c>
      <c r="J113" s="11">
        <f t="shared" si="6"/>
        <v>0</v>
      </c>
      <c r="K113" s="11">
        <f t="shared" si="7"/>
        <v>0</v>
      </c>
      <c r="L113" s="11">
        <f t="shared" si="8"/>
        <v>0</v>
      </c>
    </row>
    <row r="114" spans="2:21" x14ac:dyDescent="0.35">
      <c r="B114" s="98" t="str">
        <f>IF($I$14=12,"Módulo 12","")</f>
        <v/>
      </c>
      <c r="C114" s="96">
        <v>12</v>
      </c>
      <c r="D114" s="90">
        <v>1</v>
      </c>
      <c r="E114" s="90">
        <v>0</v>
      </c>
      <c r="F114" s="129">
        <v>0</v>
      </c>
      <c r="G114" s="11">
        <f>IF(B114="",0,IFERROR(VLOOKUP(E114,Critérios!$D$18:$E$81,2,FALSE),0))*MM</f>
        <v>0</v>
      </c>
      <c r="H114" s="11">
        <f t="shared" si="4"/>
        <v>0</v>
      </c>
      <c r="I114" s="11">
        <f t="shared" si="5"/>
        <v>0</v>
      </c>
      <c r="J114" s="11">
        <f t="shared" si="6"/>
        <v>0</v>
      </c>
      <c r="K114" s="11">
        <f t="shared" si="7"/>
        <v>0</v>
      </c>
      <c r="L114" s="11">
        <f t="shared" si="8"/>
        <v>0</v>
      </c>
    </row>
    <row r="115" spans="2:21" s="95" customFormat="1" ht="15.65" customHeight="1" thickBot="1" x14ac:dyDescent="0.4">
      <c r="B115" s="92"/>
      <c r="C115" s="93"/>
      <c r="D115" s="93"/>
      <c r="E115" s="93">
        <f t="shared" ref="E115:L115" si="9">SUBTOTAL(9,E102:E114)</f>
        <v>0</v>
      </c>
      <c r="F115" s="93">
        <f t="shared" si="9"/>
        <v>0</v>
      </c>
      <c r="G115" s="94">
        <f t="shared" si="9"/>
        <v>0</v>
      </c>
      <c r="H115" s="94">
        <f t="shared" si="9"/>
        <v>0</v>
      </c>
      <c r="I115" s="94">
        <f t="shared" si="9"/>
        <v>0</v>
      </c>
      <c r="J115" s="94">
        <f t="shared" si="9"/>
        <v>0</v>
      </c>
      <c r="K115" s="94">
        <f t="shared" si="9"/>
        <v>0</v>
      </c>
      <c r="L115" s="94">
        <f t="shared" si="9"/>
        <v>0</v>
      </c>
      <c r="M115" s="10"/>
    </row>
    <row r="116" spans="2:21" x14ac:dyDescent="0.35">
      <c r="I116" s="10"/>
      <c r="J116" s="24"/>
      <c r="K116" s="70"/>
    </row>
    <row r="117" spans="2:21" ht="39.65" customHeight="1" x14ac:dyDescent="0.35">
      <c r="B117" s="74" t="s">
        <v>206</v>
      </c>
      <c r="C117" s="106" t="s">
        <v>170</v>
      </c>
      <c r="D117" s="106"/>
      <c r="E117" s="106"/>
      <c r="F117" s="106"/>
      <c r="G117" s="106" t="s">
        <v>174</v>
      </c>
      <c r="H117" s="106" t="s">
        <v>175</v>
      </c>
      <c r="I117" s="106" t="s">
        <v>176</v>
      </c>
      <c r="J117" s="106" t="s">
        <v>177</v>
      </c>
      <c r="K117" s="106" t="s">
        <v>178</v>
      </c>
    </row>
    <row r="118" spans="2:21" ht="12" customHeight="1" x14ac:dyDescent="0.35">
      <c r="B118" s="97" t="s">
        <v>181</v>
      </c>
      <c r="C118" s="116"/>
      <c r="D118" s="116"/>
      <c r="E118" s="11"/>
      <c r="F118" s="11"/>
      <c r="G118" s="127">
        <v>0</v>
      </c>
      <c r="H118" s="127">
        <v>0</v>
      </c>
      <c r="I118" s="127">
        <v>0</v>
      </c>
      <c r="J118" s="127">
        <v>0</v>
      </c>
      <c r="K118" s="127">
        <v>0</v>
      </c>
    </row>
    <row r="119" spans="2:21" x14ac:dyDescent="0.35">
      <c r="B119" s="97" t="str">
        <f>IF(I14&gt;=1,"Módulo 1","")</f>
        <v/>
      </c>
      <c r="C119" s="96">
        <v>1</v>
      </c>
      <c r="D119" s="96"/>
      <c r="E119" s="11"/>
      <c r="F119" s="11"/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U119" s="70"/>
    </row>
    <row r="120" spans="2:21" x14ac:dyDescent="0.35">
      <c r="B120" s="97" t="str">
        <f>IF(I14&gt;=2,"Módulo 2","")</f>
        <v/>
      </c>
      <c r="C120" s="96">
        <v>2</v>
      </c>
      <c r="D120" s="96"/>
      <c r="E120" s="11"/>
      <c r="F120" s="11"/>
      <c r="G120" s="127">
        <v>0</v>
      </c>
      <c r="H120" s="127">
        <v>0</v>
      </c>
      <c r="I120" s="127">
        <v>0</v>
      </c>
      <c r="J120" s="127">
        <v>0</v>
      </c>
      <c r="K120" s="127">
        <v>0</v>
      </c>
      <c r="U120" s="70"/>
    </row>
    <row r="121" spans="2:21" x14ac:dyDescent="0.35">
      <c r="B121" s="97" t="str">
        <f>IF(I14&gt;=3,"Módulo 3","")</f>
        <v/>
      </c>
      <c r="C121" s="96">
        <v>3</v>
      </c>
      <c r="D121" s="96"/>
      <c r="E121" s="11"/>
      <c r="F121" s="11"/>
      <c r="G121" s="127">
        <v>0</v>
      </c>
      <c r="H121" s="127">
        <v>0</v>
      </c>
      <c r="I121" s="127">
        <v>0</v>
      </c>
      <c r="J121" s="127">
        <v>0</v>
      </c>
      <c r="K121" s="127">
        <v>0</v>
      </c>
      <c r="U121" s="70"/>
    </row>
    <row r="122" spans="2:21" x14ac:dyDescent="0.35">
      <c r="B122" s="97" t="str">
        <f>IF(I14&gt;=4,"Módulo 4","")</f>
        <v/>
      </c>
      <c r="C122" s="96">
        <v>4</v>
      </c>
      <c r="D122" s="96"/>
      <c r="E122" s="11"/>
      <c r="F122" s="11"/>
      <c r="G122" s="127">
        <v>0</v>
      </c>
      <c r="H122" s="127">
        <v>0</v>
      </c>
      <c r="I122" s="127">
        <v>0</v>
      </c>
      <c r="J122" s="127">
        <v>0</v>
      </c>
      <c r="K122" s="127">
        <v>0</v>
      </c>
      <c r="U122" s="70"/>
    </row>
    <row r="123" spans="2:21" x14ac:dyDescent="0.35">
      <c r="B123" s="97" t="str">
        <f>IF(I14&gt;=5,"Módulo 5","")</f>
        <v/>
      </c>
      <c r="C123" s="96">
        <v>5</v>
      </c>
      <c r="D123" s="96"/>
      <c r="E123" s="11"/>
      <c r="F123" s="11"/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U123" s="70"/>
    </row>
    <row r="124" spans="2:21" x14ac:dyDescent="0.35">
      <c r="B124" s="97" t="str">
        <f>IF(I14&gt;=6,"Módulo 6","")</f>
        <v/>
      </c>
      <c r="C124" s="96">
        <v>6</v>
      </c>
      <c r="D124" s="96"/>
      <c r="E124" s="11"/>
      <c r="F124" s="11"/>
      <c r="G124" s="127">
        <v>0</v>
      </c>
      <c r="H124" s="127">
        <v>0</v>
      </c>
      <c r="I124" s="127">
        <v>0</v>
      </c>
      <c r="J124" s="127">
        <v>0</v>
      </c>
      <c r="K124" s="127">
        <v>0</v>
      </c>
      <c r="U124" s="70"/>
    </row>
    <row r="125" spans="2:21" x14ac:dyDescent="0.35">
      <c r="B125" s="97" t="str">
        <f>IF(I14&gt;=7,"Módulo 7","")</f>
        <v/>
      </c>
      <c r="C125" s="96">
        <v>7</v>
      </c>
      <c r="D125" s="96"/>
      <c r="E125" s="11"/>
      <c r="F125" s="11"/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U125" s="70"/>
    </row>
    <row r="126" spans="2:21" x14ac:dyDescent="0.35">
      <c r="B126" s="97" t="str">
        <f>IF(I14&gt;=8,"Módulo 8","")</f>
        <v/>
      </c>
      <c r="C126" s="96">
        <v>8</v>
      </c>
      <c r="D126" s="96"/>
      <c r="E126" s="11"/>
      <c r="F126" s="11"/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</row>
    <row r="127" spans="2:21" x14ac:dyDescent="0.35">
      <c r="B127" s="97" t="str">
        <f>IF(I14&gt;=9,"Módulo 9","")</f>
        <v/>
      </c>
      <c r="C127" s="96">
        <v>9</v>
      </c>
      <c r="D127" s="96"/>
      <c r="E127" s="11"/>
      <c r="F127" s="11"/>
      <c r="G127" s="127">
        <v>0</v>
      </c>
      <c r="H127" s="127">
        <v>0</v>
      </c>
      <c r="I127" s="127">
        <v>0</v>
      </c>
      <c r="J127" s="127">
        <v>0</v>
      </c>
      <c r="K127" s="127">
        <v>0</v>
      </c>
    </row>
    <row r="128" spans="2:21" x14ac:dyDescent="0.35">
      <c r="B128" s="97" t="str">
        <f>IF(I14&gt;=10,"Módulo 10","")</f>
        <v/>
      </c>
      <c r="C128" s="96">
        <v>10</v>
      </c>
      <c r="D128" s="96"/>
      <c r="E128" s="11"/>
      <c r="F128" s="11"/>
      <c r="G128" s="127">
        <v>0</v>
      </c>
      <c r="H128" s="127">
        <v>0</v>
      </c>
      <c r="I128" s="127">
        <v>0</v>
      </c>
      <c r="J128" s="127">
        <v>0</v>
      </c>
      <c r="K128" s="127">
        <v>0</v>
      </c>
    </row>
    <row r="129" spans="2:21" x14ac:dyDescent="0.35">
      <c r="B129" s="97" t="str">
        <f>IF(I14&gt;=11,"Módulo 11","")</f>
        <v/>
      </c>
      <c r="C129" s="96">
        <v>11</v>
      </c>
      <c r="D129" s="96"/>
      <c r="E129" s="11"/>
      <c r="F129" s="11"/>
      <c r="G129" s="127">
        <v>0</v>
      </c>
      <c r="H129" s="127">
        <v>0</v>
      </c>
      <c r="I129" s="127">
        <v>0</v>
      </c>
      <c r="J129" s="127">
        <v>0</v>
      </c>
      <c r="K129" s="127">
        <v>0</v>
      </c>
    </row>
    <row r="130" spans="2:21" x14ac:dyDescent="0.35">
      <c r="B130" s="98" t="str">
        <f>IF($I$14=12,"Módulo 12","")</f>
        <v/>
      </c>
      <c r="C130" s="96">
        <v>12</v>
      </c>
      <c r="D130" s="96"/>
      <c r="E130" s="11"/>
      <c r="F130" s="11"/>
      <c r="G130" s="127">
        <v>0</v>
      </c>
      <c r="H130" s="127">
        <v>0</v>
      </c>
      <c r="I130" s="127">
        <v>0</v>
      </c>
      <c r="J130" s="127">
        <v>0</v>
      </c>
      <c r="K130" s="127">
        <v>0</v>
      </c>
    </row>
    <row r="131" spans="2:21" x14ac:dyDescent="0.35">
      <c r="I131" s="10"/>
      <c r="J131" s="24"/>
      <c r="K131" s="70"/>
    </row>
    <row r="132" spans="2:21" ht="39.65" customHeight="1" x14ac:dyDescent="0.35">
      <c r="B132" s="74" t="s">
        <v>207</v>
      </c>
      <c r="C132" s="106" t="s">
        <v>170</v>
      </c>
      <c r="D132" s="106"/>
      <c r="E132" s="106" t="s">
        <v>182</v>
      </c>
      <c r="F132" s="106" t="s">
        <v>174</v>
      </c>
      <c r="G132" s="106" t="s">
        <v>175</v>
      </c>
      <c r="H132" s="106" t="s">
        <v>176</v>
      </c>
      <c r="I132" s="106" t="s">
        <v>177</v>
      </c>
      <c r="J132" s="106" t="s">
        <v>178</v>
      </c>
      <c r="K132" s="106" t="s">
        <v>183</v>
      </c>
      <c r="L132" s="106" t="s">
        <v>184</v>
      </c>
    </row>
    <row r="133" spans="2:21" ht="12" customHeight="1" x14ac:dyDescent="0.35">
      <c r="B133" s="97" t="s">
        <v>181</v>
      </c>
      <c r="C133" s="116"/>
      <c r="D133" s="116"/>
      <c r="E133" s="96">
        <f t="shared" ref="E133:E145" si="10">F102</f>
        <v>0</v>
      </c>
      <c r="F133" s="11">
        <f t="shared" ref="F133:J145" si="11">G102*G118</f>
        <v>0</v>
      </c>
      <c r="G133" s="11">
        <f t="shared" si="11"/>
        <v>0</v>
      </c>
      <c r="H133" s="11">
        <f t="shared" si="11"/>
        <v>0</v>
      </c>
      <c r="I133" s="11">
        <f t="shared" si="11"/>
        <v>0</v>
      </c>
      <c r="J133" s="11">
        <f t="shared" si="11"/>
        <v>0</v>
      </c>
      <c r="K133" s="11">
        <f>SUM(F133:J133)</f>
        <v>0</v>
      </c>
      <c r="L133" s="11">
        <f>E133*K133</f>
        <v>0</v>
      </c>
    </row>
    <row r="134" spans="2:21" x14ac:dyDescent="0.35">
      <c r="B134" s="97" t="str">
        <f>IF(I14&gt;=1,"Módulo 1","")</f>
        <v/>
      </c>
      <c r="C134" s="96">
        <v>1</v>
      </c>
      <c r="D134" s="96"/>
      <c r="E134" s="96">
        <f t="shared" si="10"/>
        <v>0</v>
      </c>
      <c r="F134" s="11">
        <f t="shared" si="11"/>
        <v>0</v>
      </c>
      <c r="G134" s="11">
        <f t="shared" si="11"/>
        <v>0</v>
      </c>
      <c r="H134" s="11">
        <f t="shared" si="11"/>
        <v>0</v>
      </c>
      <c r="I134" s="11">
        <f t="shared" si="11"/>
        <v>0</v>
      </c>
      <c r="J134" s="11">
        <f t="shared" si="11"/>
        <v>0</v>
      </c>
      <c r="K134" s="11">
        <f>SUM(F134:J134)</f>
        <v>0</v>
      </c>
      <c r="L134" s="11">
        <f t="shared" ref="L134:L145" si="12">E134*K134</f>
        <v>0</v>
      </c>
      <c r="M134" s="70"/>
      <c r="U134" s="70"/>
    </row>
    <row r="135" spans="2:21" x14ac:dyDescent="0.35">
      <c r="B135" s="97" t="str">
        <f>IF(I14&gt;=2,"Módulo 2","")</f>
        <v/>
      </c>
      <c r="C135" s="96">
        <v>2</v>
      </c>
      <c r="D135" s="96"/>
      <c r="E135" s="96">
        <f t="shared" si="10"/>
        <v>0</v>
      </c>
      <c r="F135" s="11">
        <f t="shared" si="11"/>
        <v>0</v>
      </c>
      <c r="G135" s="11">
        <f t="shared" si="11"/>
        <v>0</v>
      </c>
      <c r="H135" s="11">
        <f t="shared" si="11"/>
        <v>0</v>
      </c>
      <c r="I135" s="11">
        <f t="shared" si="11"/>
        <v>0</v>
      </c>
      <c r="J135" s="11">
        <f t="shared" si="11"/>
        <v>0</v>
      </c>
      <c r="K135" s="11">
        <f t="shared" ref="K135:K145" si="13">SUM(F135:J135)</f>
        <v>0</v>
      </c>
      <c r="L135" s="11">
        <f t="shared" si="12"/>
        <v>0</v>
      </c>
      <c r="U135" s="70"/>
    </row>
    <row r="136" spans="2:21" x14ac:dyDescent="0.35">
      <c r="B136" s="97" t="str">
        <f>IF(I14&gt;=3,"Módulo 3","")</f>
        <v/>
      </c>
      <c r="C136" s="96">
        <v>3</v>
      </c>
      <c r="D136" s="96"/>
      <c r="E136" s="96">
        <f t="shared" si="10"/>
        <v>0</v>
      </c>
      <c r="F136" s="11">
        <f t="shared" si="11"/>
        <v>0</v>
      </c>
      <c r="G136" s="11">
        <f t="shared" si="11"/>
        <v>0</v>
      </c>
      <c r="H136" s="11">
        <f t="shared" si="11"/>
        <v>0</v>
      </c>
      <c r="I136" s="11">
        <f t="shared" si="11"/>
        <v>0</v>
      </c>
      <c r="J136" s="11">
        <f t="shared" si="11"/>
        <v>0</v>
      </c>
      <c r="K136" s="11">
        <f t="shared" si="13"/>
        <v>0</v>
      </c>
      <c r="L136" s="11">
        <f t="shared" si="12"/>
        <v>0</v>
      </c>
      <c r="U136" s="70"/>
    </row>
    <row r="137" spans="2:21" x14ac:dyDescent="0.35">
      <c r="B137" s="97" t="str">
        <f>IF(I14&gt;=4,"Módulo 4","")</f>
        <v/>
      </c>
      <c r="C137" s="96">
        <v>4</v>
      </c>
      <c r="D137" s="96"/>
      <c r="E137" s="96">
        <f t="shared" si="10"/>
        <v>0</v>
      </c>
      <c r="F137" s="11">
        <f t="shared" si="11"/>
        <v>0</v>
      </c>
      <c r="G137" s="11">
        <f t="shared" si="11"/>
        <v>0</v>
      </c>
      <c r="H137" s="11">
        <f t="shared" si="11"/>
        <v>0</v>
      </c>
      <c r="I137" s="11">
        <f t="shared" si="11"/>
        <v>0</v>
      </c>
      <c r="J137" s="11">
        <f t="shared" si="11"/>
        <v>0</v>
      </c>
      <c r="K137" s="11">
        <f t="shared" si="13"/>
        <v>0</v>
      </c>
      <c r="L137" s="11">
        <f t="shared" si="12"/>
        <v>0</v>
      </c>
      <c r="U137" s="70"/>
    </row>
    <row r="138" spans="2:21" x14ac:dyDescent="0.35">
      <c r="B138" s="97" t="str">
        <f>IF(I14&gt;=5,"Módulo 5","")</f>
        <v/>
      </c>
      <c r="C138" s="96">
        <v>5</v>
      </c>
      <c r="D138" s="96"/>
      <c r="E138" s="96">
        <f t="shared" si="10"/>
        <v>0</v>
      </c>
      <c r="F138" s="11">
        <f t="shared" si="11"/>
        <v>0</v>
      </c>
      <c r="G138" s="11">
        <f t="shared" si="11"/>
        <v>0</v>
      </c>
      <c r="H138" s="11">
        <f t="shared" si="11"/>
        <v>0</v>
      </c>
      <c r="I138" s="11">
        <f t="shared" si="11"/>
        <v>0</v>
      </c>
      <c r="J138" s="11">
        <f t="shared" si="11"/>
        <v>0</v>
      </c>
      <c r="K138" s="11">
        <f t="shared" si="13"/>
        <v>0</v>
      </c>
      <c r="L138" s="11">
        <f t="shared" si="12"/>
        <v>0</v>
      </c>
      <c r="U138" s="70"/>
    </row>
    <row r="139" spans="2:21" x14ac:dyDescent="0.35">
      <c r="B139" s="97" t="str">
        <f>IF(I14&gt;=6,"Módulo 6","")</f>
        <v/>
      </c>
      <c r="C139" s="96">
        <v>6</v>
      </c>
      <c r="D139" s="96"/>
      <c r="E139" s="96">
        <f t="shared" si="10"/>
        <v>0</v>
      </c>
      <c r="F139" s="11">
        <f t="shared" si="11"/>
        <v>0</v>
      </c>
      <c r="G139" s="11">
        <f t="shared" si="11"/>
        <v>0</v>
      </c>
      <c r="H139" s="11">
        <f t="shared" si="11"/>
        <v>0</v>
      </c>
      <c r="I139" s="11">
        <f t="shared" si="11"/>
        <v>0</v>
      </c>
      <c r="J139" s="11">
        <f t="shared" si="11"/>
        <v>0</v>
      </c>
      <c r="K139" s="11">
        <f t="shared" si="13"/>
        <v>0</v>
      </c>
      <c r="L139" s="11">
        <f t="shared" si="12"/>
        <v>0</v>
      </c>
      <c r="U139" s="70"/>
    </row>
    <row r="140" spans="2:21" x14ac:dyDescent="0.35">
      <c r="B140" s="97" t="str">
        <f>IF(I14&gt;=7,"Módulo 7","")</f>
        <v/>
      </c>
      <c r="C140" s="96">
        <v>7</v>
      </c>
      <c r="D140" s="96"/>
      <c r="E140" s="96">
        <f t="shared" si="10"/>
        <v>0</v>
      </c>
      <c r="F140" s="11">
        <f t="shared" si="11"/>
        <v>0</v>
      </c>
      <c r="G140" s="11">
        <f t="shared" si="11"/>
        <v>0</v>
      </c>
      <c r="H140" s="11">
        <f t="shared" si="11"/>
        <v>0</v>
      </c>
      <c r="I140" s="11">
        <f t="shared" si="11"/>
        <v>0</v>
      </c>
      <c r="J140" s="11">
        <f t="shared" si="11"/>
        <v>0</v>
      </c>
      <c r="K140" s="11">
        <f t="shared" si="13"/>
        <v>0</v>
      </c>
      <c r="L140" s="11">
        <f t="shared" si="12"/>
        <v>0</v>
      </c>
      <c r="U140" s="70"/>
    </row>
    <row r="141" spans="2:21" x14ac:dyDescent="0.35">
      <c r="B141" s="97" t="str">
        <f>IF(I14&gt;=8,"Módulo 8","")</f>
        <v/>
      </c>
      <c r="C141" s="96">
        <v>8</v>
      </c>
      <c r="D141" s="96"/>
      <c r="E141" s="96">
        <f t="shared" si="10"/>
        <v>0</v>
      </c>
      <c r="F141" s="11">
        <f t="shared" si="11"/>
        <v>0</v>
      </c>
      <c r="G141" s="11">
        <f t="shared" si="11"/>
        <v>0</v>
      </c>
      <c r="H141" s="11">
        <f t="shared" si="11"/>
        <v>0</v>
      </c>
      <c r="I141" s="11">
        <f t="shared" si="11"/>
        <v>0</v>
      </c>
      <c r="J141" s="11">
        <f t="shared" si="11"/>
        <v>0</v>
      </c>
      <c r="K141" s="11">
        <f t="shared" si="13"/>
        <v>0</v>
      </c>
      <c r="L141" s="11">
        <f t="shared" si="12"/>
        <v>0</v>
      </c>
    </row>
    <row r="142" spans="2:21" x14ac:dyDescent="0.35">
      <c r="B142" s="97" t="str">
        <f>IF(I14&gt;=9,"Módulo 9","")</f>
        <v/>
      </c>
      <c r="C142" s="96">
        <v>9</v>
      </c>
      <c r="D142" s="96"/>
      <c r="E142" s="96">
        <f t="shared" si="10"/>
        <v>0</v>
      </c>
      <c r="F142" s="11">
        <f t="shared" si="11"/>
        <v>0</v>
      </c>
      <c r="G142" s="11">
        <f t="shared" si="11"/>
        <v>0</v>
      </c>
      <c r="H142" s="11">
        <f t="shared" si="11"/>
        <v>0</v>
      </c>
      <c r="I142" s="11">
        <f t="shared" si="11"/>
        <v>0</v>
      </c>
      <c r="J142" s="11">
        <f t="shared" si="11"/>
        <v>0</v>
      </c>
      <c r="K142" s="11">
        <f t="shared" si="13"/>
        <v>0</v>
      </c>
      <c r="L142" s="11">
        <f t="shared" si="12"/>
        <v>0</v>
      </c>
    </row>
    <row r="143" spans="2:21" x14ac:dyDescent="0.35">
      <c r="B143" s="97" t="str">
        <f>IF(I14&gt;=10,"Módulo 10","")</f>
        <v/>
      </c>
      <c r="C143" s="96">
        <v>10</v>
      </c>
      <c r="D143" s="96"/>
      <c r="E143" s="96">
        <f t="shared" si="10"/>
        <v>0</v>
      </c>
      <c r="F143" s="11">
        <f t="shared" si="11"/>
        <v>0</v>
      </c>
      <c r="G143" s="11">
        <f t="shared" si="11"/>
        <v>0</v>
      </c>
      <c r="H143" s="11">
        <f t="shared" si="11"/>
        <v>0</v>
      </c>
      <c r="I143" s="11">
        <f t="shared" si="11"/>
        <v>0</v>
      </c>
      <c r="J143" s="11">
        <f t="shared" si="11"/>
        <v>0</v>
      </c>
      <c r="K143" s="11">
        <f t="shared" si="13"/>
        <v>0</v>
      </c>
      <c r="L143" s="11">
        <f t="shared" si="12"/>
        <v>0</v>
      </c>
    </row>
    <row r="144" spans="2:21" x14ac:dyDescent="0.35">
      <c r="B144" s="97" t="str">
        <f>IF(I14&gt;=11,"Módulo 11","")</f>
        <v/>
      </c>
      <c r="C144" s="96">
        <v>11</v>
      </c>
      <c r="D144" s="96"/>
      <c r="E144" s="96">
        <f t="shared" si="10"/>
        <v>0</v>
      </c>
      <c r="F144" s="11">
        <f t="shared" si="11"/>
        <v>0</v>
      </c>
      <c r="G144" s="11">
        <f t="shared" si="11"/>
        <v>0</v>
      </c>
      <c r="H144" s="11">
        <f t="shared" si="11"/>
        <v>0</v>
      </c>
      <c r="I144" s="11">
        <f t="shared" si="11"/>
        <v>0</v>
      </c>
      <c r="J144" s="11">
        <f t="shared" si="11"/>
        <v>0</v>
      </c>
      <c r="K144" s="11">
        <f t="shared" si="13"/>
        <v>0</v>
      </c>
      <c r="L144" s="11">
        <f t="shared" si="12"/>
        <v>0</v>
      </c>
    </row>
    <row r="145" spans="2:12" x14ac:dyDescent="0.35">
      <c r="B145" s="98" t="str">
        <f>IF($I$14=12,"Módulo 12","")</f>
        <v/>
      </c>
      <c r="C145" s="96">
        <v>12</v>
      </c>
      <c r="D145" s="96"/>
      <c r="E145" s="96">
        <f t="shared" si="10"/>
        <v>0</v>
      </c>
      <c r="F145" s="11">
        <f t="shared" si="11"/>
        <v>0</v>
      </c>
      <c r="G145" s="11">
        <f t="shared" si="11"/>
        <v>0</v>
      </c>
      <c r="H145" s="11">
        <f t="shared" si="11"/>
        <v>0</v>
      </c>
      <c r="I145" s="11">
        <f t="shared" si="11"/>
        <v>0</v>
      </c>
      <c r="J145" s="11">
        <f t="shared" si="11"/>
        <v>0</v>
      </c>
      <c r="K145" s="11">
        <f t="shared" si="13"/>
        <v>0</v>
      </c>
      <c r="L145" s="11">
        <f t="shared" si="12"/>
        <v>0</v>
      </c>
    </row>
    <row r="146" spans="2:12" s="95" customFormat="1" ht="15.65" customHeight="1" thickBot="1" x14ac:dyDescent="0.4">
      <c r="B146" s="92"/>
      <c r="C146" s="93"/>
      <c r="D146" s="93"/>
      <c r="E146" s="94"/>
      <c r="F146" s="94">
        <f t="shared" ref="F146:J146" si="14">SUBTOTAL(9,F133:F145)</f>
        <v>0</v>
      </c>
      <c r="G146" s="94">
        <f t="shared" si="14"/>
        <v>0</v>
      </c>
      <c r="H146" s="94">
        <f t="shared" si="14"/>
        <v>0</v>
      </c>
      <c r="I146" s="94">
        <f t="shared" si="14"/>
        <v>0</v>
      </c>
      <c r="J146" s="94">
        <f t="shared" si="14"/>
        <v>0</v>
      </c>
      <c r="K146" s="94">
        <f>SUBTOTAL(9,K133:K145)</f>
        <v>0</v>
      </c>
      <c r="L146" s="94">
        <f>SUBTOTAL(9,L133:L145)</f>
        <v>0</v>
      </c>
    </row>
    <row r="147" spans="2:12" x14ac:dyDescent="0.35">
      <c r="I147" s="10"/>
      <c r="J147" s="24"/>
      <c r="K147" s="70"/>
    </row>
    <row r="148" spans="2:12" x14ac:dyDescent="0.35">
      <c r="I148" s="10"/>
      <c r="J148" s="24"/>
      <c r="K148" s="70"/>
    </row>
    <row r="149" spans="2:12" ht="22" customHeight="1" x14ac:dyDescent="0.35">
      <c r="B149" s="153" t="s">
        <v>208</v>
      </c>
      <c r="C149" s="153"/>
      <c r="D149" s="153"/>
      <c r="E149" s="74"/>
      <c r="F149" s="75" t="s">
        <v>185</v>
      </c>
      <c r="G149" s="75" t="s">
        <v>186</v>
      </c>
      <c r="H149" s="75" t="s">
        <v>187</v>
      </c>
      <c r="I149" s="75" t="s">
        <v>188</v>
      </c>
    </row>
    <row r="150" spans="2:12" x14ac:dyDescent="0.35">
      <c r="B150" s="25" t="s">
        <v>189</v>
      </c>
      <c r="C150" s="28"/>
      <c r="D150" s="28"/>
      <c r="E150" s="28"/>
      <c r="F150" s="13"/>
      <c r="G150" s="43">
        <f>VLOOKUP(G18,F15:I17,4,FALSE)</f>
        <v>75</v>
      </c>
      <c r="H150" s="11">
        <f>I98</f>
        <v>225</v>
      </c>
      <c r="I150" s="11">
        <f>L115</f>
        <v>0</v>
      </c>
    </row>
    <row r="151" spans="2:12" x14ac:dyDescent="0.35">
      <c r="B151" s="35" t="s">
        <v>190</v>
      </c>
      <c r="C151" s="28"/>
      <c r="D151" s="28"/>
      <c r="E151" s="28"/>
      <c r="F151" s="18">
        <v>5</v>
      </c>
      <c r="G151" s="43">
        <f t="shared" ref="G151:G159" si="15">IF($G$150+F151&lt;0,0,$G$150+F151)</f>
        <v>80</v>
      </c>
      <c r="H151" s="11">
        <f t="shared" ref="H151:H159" si="16">IFERROR(($I$98*$G$150)/G151,0)</f>
        <v>210.9375</v>
      </c>
      <c r="I151" s="11">
        <f t="shared" ref="I151:I159" si="17">IFERROR(($L$115*$G$150)/G151,0)</f>
        <v>0</v>
      </c>
    </row>
    <row r="152" spans="2:12" x14ac:dyDescent="0.35">
      <c r="B152" s="25"/>
      <c r="C152" s="28"/>
      <c r="D152" s="28"/>
      <c r="E152" s="28"/>
      <c r="F152" s="18">
        <v>10</v>
      </c>
      <c r="G152" s="43">
        <f t="shared" si="15"/>
        <v>85</v>
      </c>
      <c r="H152" s="11">
        <f t="shared" si="16"/>
        <v>198.52941176470588</v>
      </c>
      <c r="I152" s="11">
        <f t="shared" si="17"/>
        <v>0</v>
      </c>
    </row>
    <row r="153" spans="2:12" x14ac:dyDescent="0.35">
      <c r="B153" s="25"/>
      <c r="C153" s="28"/>
      <c r="D153" s="28"/>
      <c r="E153" s="28"/>
      <c r="F153" s="18">
        <v>15</v>
      </c>
      <c r="G153" s="43">
        <f t="shared" si="15"/>
        <v>90</v>
      </c>
      <c r="H153" s="11">
        <f t="shared" si="16"/>
        <v>187.5</v>
      </c>
      <c r="I153" s="11">
        <f t="shared" si="17"/>
        <v>0</v>
      </c>
    </row>
    <row r="154" spans="2:12" x14ac:dyDescent="0.35">
      <c r="B154" s="25"/>
      <c r="C154" s="28"/>
      <c r="D154" s="28"/>
      <c r="E154" s="28"/>
      <c r="F154" s="18">
        <v>20</v>
      </c>
      <c r="G154" s="43">
        <f t="shared" si="15"/>
        <v>95</v>
      </c>
      <c r="H154" s="11">
        <f t="shared" si="16"/>
        <v>177.63157894736841</v>
      </c>
      <c r="I154" s="11">
        <f t="shared" si="17"/>
        <v>0</v>
      </c>
    </row>
    <row r="155" spans="2:12" x14ac:dyDescent="0.35">
      <c r="B155" s="25"/>
      <c r="C155" s="28"/>
      <c r="D155" s="28"/>
      <c r="E155" s="28"/>
      <c r="F155" s="18">
        <v>25</v>
      </c>
      <c r="G155" s="43">
        <f t="shared" si="15"/>
        <v>100</v>
      </c>
      <c r="H155" s="11">
        <f t="shared" si="16"/>
        <v>168.75</v>
      </c>
      <c r="I155" s="11">
        <f t="shared" si="17"/>
        <v>0</v>
      </c>
    </row>
    <row r="156" spans="2:12" x14ac:dyDescent="0.35">
      <c r="B156" s="25"/>
      <c r="C156" s="28"/>
      <c r="D156" s="28"/>
      <c r="E156" s="28"/>
      <c r="F156" s="18">
        <v>-5</v>
      </c>
      <c r="G156" s="43">
        <f t="shared" si="15"/>
        <v>70</v>
      </c>
      <c r="H156" s="11">
        <f t="shared" si="16"/>
        <v>241.07142857142858</v>
      </c>
      <c r="I156" s="11">
        <f t="shared" si="17"/>
        <v>0</v>
      </c>
    </row>
    <row r="157" spans="2:12" x14ac:dyDescent="0.35">
      <c r="B157" s="25"/>
      <c r="C157" s="28"/>
      <c r="D157" s="28"/>
      <c r="E157" s="28"/>
      <c r="F157" s="18">
        <v>-10</v>
      </c>
      <c r="G157" s="43">
        <f t="shared" si="15"/>
        <v>65</v>
      </c>
      <c r="H157" s="11">
        <f t="shared" si="16"/>
        <v>259.61538461538464</v>
      </c>
      <c r="I157" s="11">
        <f t="shared" si="17"/>
        <v>0</v>
      </c>
    </row>
    <row r="158" spans="2:12" x14ac:dyDescent="0.35">
      <c r="B158" s="25"/>
      <c r="C158" s="28"/>
      <c r="D158" s="28"/>
      <c r="E158" s="28"/>
      <c r="F158" s="18">
        <v>-15</v>
      </c>
      <c r="G158" s="43">
        <f t="shared" si="15"/>
        <v>60</v>
      </c>
      <c r="H158" s="11">
        <f t="shared" si="16"/>
        <v>281.25</v>
      </c>
      <c r="I158" s="11">
        <f t="shared" si="17"/>
        <v>0</v>
      </c>
    </row>
    <row r="159" spans="2:12" x14ac:dyDescent="0.35">
      <c r="B159" s="25"/>
      <c r="C159" s="28"/>
      <c r="D159" s="28"/>
      <c r="E159" s="28"/>
      <c r="F159" s="18">
        <v>-20</v>
      </c>
      <c r="G159" s="43">
        <f t="shared" si="15"/>
        <v>55</v>
      </c>
      <c r="H159" s="11">
        <f t="shared" si="16"/>
        <v>306.81818181818181</v>
      </c>
      <c r="I159" s="11">
        <f t="shared" si="17"/>
        <v>0</v>
      </c>
    </row>
    <row r="161" spans="2:9" ht="19.5" customHeight="1" x14ac:dyDescent="0.35">
      <c r="B161" s="74" t="s">
        <v>209</v>
      </c>
      <c r="C161" s="87"/>
      <c r="D161" s="74"/>
      <c r="E161" s="74"/>
      <c r="F161" s="74"/>
      <c r="G161" s="74"/>
      <c r="H161" s="75" t="s">
        <v>211</v>
      </c>
      <c r="I161" s="75" t="s">
        <v>212</v>
      </c>
    </row>
    <row r="162" spans="2:9" ht="12" customHeight="1" x14ac:dyDescent="0.35">
      <c r="B162" s="36" t="s">
        <v>191</v>
      </c>
      <c r="C162" s="19"/>
      <c r="D162" s="19"/>
      <c r="E162" s="19"/>
      <c r="F162" s="19"/>
      <c r="G162" s="88"/>
      <c r="H162" s="11">
        <f>I47*M</f>
        <v>0</v>
      </c>
      <c r="I162" s="11">
        <f>I47*MM</f>
        <v>0</v>
      </c>
    </row>
    <row r="163" spans="2:9" ht="12" customHeight="1" x14ac:dyDescent="0.35">
      <c r="B163" s="36" t="s">
        <v>192</v>
      </c>
      <c r="C163" s="19"/>
      <c r="D163" s="19"/>
      <c r="E163" s="19"/>
      <c r="F163" s="19"/>
      <c r="G163" s="88"/>
      <c r="H163" s="11">
        <f>I74*M</f>
        <v>0</v>
      </c>
      <c r="I163" s="11">
        <f>I74*MM</f>
        <v>0</v>
      </c>
    </row>
    <row r="164" spans="2:9" ht="12" customHeight="1" x14ac:dyDescent="0.35">
      <c r="B164" s="36" t="s">
        <v>193</v>
      </c>
      <c r="C164" s="19"/>
      <c r="D164" s="19"/>
      <c r="E164" s="19"/>
      <c r="F164" s="19"/>
      <c r="G164" s="88"/>
      <c r="H164" s="11">
        <f>I83*M</f>
        <v>0</v>
      </c>
      <c r="I164" s="11">
        <f>I83*MM</f>
        <v>0</v>
      </c>
    </row>
    <row r="165" spans="2:9" ht="12" customHeight="1" x14ac:dyDescent="0.35">
      <c r="B165" s="36" t="s">
        <v>194</v>
      </c>
      <c r="C165" s="19"/>
      <c r="D165" s="19"/>
      <c r="E165" s="19"/>
      <c r="F165" s="19"/>
      <c r="G165" s="88"/>
      <c r="H165" s="11">
        <f>VLOOKUP(G18,F15:I17,4,FALSE)*K98*M</f>
        <v>16875</v>
      </c>
      <c r="I165" s="11">
        <f>L146*MM</f>
        <v>0</v>
      </c>
    </row>
    <row r="166" spans="2:9" ht="12" customHeight="1" x14ac:dyDescent="0.35">
      <c r="B166" s="123" t="s">
        <v>195</v>
      </c>
      <c r="C166" s="124"/>
      <c r="D166" s="124"/>
      <c r="E166" s="124"/>
      <c r="F166" s="124"/>
      <c r="G166" s="125"/>
      <c r="H166" s="126">
        <f>SUBTOTAL(9,H162:H165)</f>
        <v>16875</v>
      </c>
      <c r="I166" s="126">
        <f>SUBTOTAL(9,I162:I165)</f>
        <v>0</v>
      </c>
    </row>
    <row r="167" spans="2:9" ht="12" customHeight="1" x14ac:dyDescent="0.35">
      <c r="B167" s="36" t="s">
        <v>196</v>
      </c>
      <c r="C167" s="19"/>
      <c r="D167" s="19"/>
      <c r="E167" s="19"/>
      <c r="F167" s="19"/>
      <c r="G167" s="88"/>
      <c r="H167" s="11">
        <f>IFERROR(H166/C14,"")</f>
        <v>8437.5</v>
      </c>
      <c r="I167" s="11">
        <f>IFERROR(I166/C14,"")</f>
        <v>0</v>
      </c>
    </row>
    <row r="168" spans="2:9" ht="12" customHeight="1" x14ac:dyDescent="0.35">
      <c r="B168" s="36" t="s">
        <v>197</v>
      </c>
      <c r="C168" s="19"/>
      <c r="D168" s="19"/>
      <c r="E168" s="19"/>
      <c r="F168" s="19"/>
      <c r="G168" s="88"/>
      <c r="H168" s="11">
        <f>IFERROR(H166/I13,"")</f>
        <v>1406.25</v>
      </c>
      <c r="I168" s="11">
        <f>IFERROR(I166/I13,"")</f>
        <v>0</v>
      </c>
    </row>
    <row r="169" spans="2:9" ht="12" customHeight="1" x14ac:dyDescent="0.35">
      <c r="B169" s="36" t="s">
        <v>198</v>
      </c>
      <c r="C169" s="19"/>
      <c r="D169" s="19"/>
      <c r="E169" s="19"/>
      <c r="F169" s="19"/>
      <c r="G169" s="88"/>
      <c r="H169" s="11">
        <f>IFERROR(H166/(C14*27),"")</f>
        <v>312.5</v>
      </c>
      <c r="I169" s="11">
        <f>IFERROR(I166/(C14*27),"")</f>
        <v>0</v>
      </c>
    </row>
    <row r="170" spans="2:9" x14ac:dyDescent="0.35">
      <c r="G170" s="89"/>
    </row>
    <row r="171" spans="2:9" x14ac:dyDescent="0.35">
      <c r="G171" s="89"/>
    </row>
    <row r="172" spans="2:9" ht="17.5" customHeight="1" x14ac:dyDescent="0.35">
      <c r="B172" s="74" t="s">
        <v>210</v>
      </c>
      <c r="C172" s="74"/>
      <c r="D172" s="74"/>
      <c r="E172" s="74"/>
      <c r="F172" s="74"/>
      <c r="G172" s="74"/>
      <c r="H172" s="74"/>
      <c r="I172" s="74"/>
    </row>
    <row r="173" spans="2:9" ht="91.5" customHeight="1" x14ac:dyDescent="0.35">
      <c r="B173" s="147" t="s">
        <v>199</v>
      </c>
      <c r="C173" s="148"/>
      <c r="D173" s="148"/>
      <c r="E173" s="148"/>
      <c r="F173" s="148"/>
      <c r="G173" s="148"/>
      <c r="H173" s="148"/>
      <c r="I173" s="149"/>
    </row>
    <row r="175" spans="2:9" ht="17.5" customHeight="1" x14ac:dyDescent="0.35">
      <c r="B175" s="74" t="s">
        <v>214</v>
      </c>
      <c r="C175" s="74"/>
      <c r="D175" s="74"/>
      <c r="E175" s="74"/>
      <c r="F175" s="74"/>
      <c r="G175" s="74"/>
      <c r="H175" s="74"/>
      <c r="I175" s="74"/>
    </row>
    <row r="176" spans="2:9" x14ac:dyDescent="0.35">
      <c r="B176" s="160"/>
      <c r="C176" s="160"/>
      <c r="D176" s="160"/>
      <c r="E176" s="160"/>
      <c r="F176" s="160"/>
      <c r="G176" s="160"/>
      <c r="H176" s="160"/>
      <c r="I176" s="161"/>
    </row>
    <row r="177" spans="2:9" x14ac:dyDescent="0.35">
      <c r="B177" s="140" t="str">
        <f>IF(G8="","#Erro#: Data Final do curso por preencher","")</f>
        <v>#Erro#: Data Final do curso por preencher</v>
      </c>
      <c r="C177" s="140"/>
      <c r="D177" s="140"/>
      <c r="E177" s="140"/>
      <c r="F177" s="140"/>
      <c r="G177" s="140"/>
      <c r="H177" s="140"/>
      <c r="I177" s="140"/>
    </row>
    <row r="178" spans="2:9" x14ac:dyDescent="0.35">
      <c r="B178" s="140" t="str">
        <f>IF(C9="","#Erro#: Duração do curso por preencher","")</f>
        <v>#Erro#: Duração do curso por preencher</v>
      </c>
      <c r="C178" s="140"/>
      <c r="D178" s="140"/>
      <c r="E178" s="140"/>
      <c r="F178" s="140"/>
      <c r="G178" s="140"/>
      <c r="H178" s="140"/>
      <c r="I178" s="140"/>
    </row>
    <row r="179" spans="2:9" x14ac:dyDescent="0.35">
      <c r="B179" s="140" t="str">
        <f>IF(D13="","#Erro#: Horas totais do curso por preencher","")</f>
        <v/>
      </c>
      <c r="C179" s="140"/>
      <c r="D179" s="140"/>
      <c r="E179" s="140"/>
      <c r="F179" s="140"/>
      <c r="G179" s="140"/>
      <c r="H179" s="140"/>
      <c r="I179" s="140"/>
    </row>
    <row r="180" spans="2:9" x14ac:dyDescent="0.35">
      <c r="B180" s="140" t="str">
        <f>IF(C14="","#Erro#:Numero de ECTS do curso por preencher","")</f>
        <v/>
      </c>
      <c r="C180" s="140"/>
      <c r="D180" s="140"/>
      <c r="E180" s="140"/>
      <c r="F180" s="140"/>
      <c r="G180" s="140"/>
      <c r="H180" s="140"/>
      <c r="I180" s="140"/>
    </row>
    <row r="181" spans="2:9" x14ac:dyDescent="0.35">
      <c r="B181" s="140" t="str">
        <f>IF(C16="","#Erro#:Tipo de ensino do curso por preencher","")</f>
        <v/>
      </c>
      <c r="C181" s="140"/>
      <c r="D181" s="140"/>
      <c r="E181" s="140"/>
      <c r="F181" s="140"/>
      <c r="G181" s="140"/>
      <c r="H181" s="140"/>
      <c r="I181" s="140"/>
    </row>
    <row r="182" spans="2:9" x14ac:dyDescent="0.35">
      <c r="B182" s="140" t="str">
        <f>IF(I15="","#Erro#:Numero de vagas do curso por preencher","")</f>
        <v/>
      </c>
      <c r="C182" s="140"/>
      <c r="D182" s="140"/>
      <c r="E182" s="140"/>
      <c r="F182" s="140"/>
      <c r="G182" s="140"/>
      <c r="H182" s="140"/>
      <c r="I182" s="140"/>
    </row>
    <row r="183" spans="2:9" x14ac:dyDescent="0.35">
      <c r="B183" s="140" t="str">
        <f>IF(H48&lt;&gt;0,"#Erro#:Afetação de horas contato de docentes ao curso em falta","")</f>
        <v/>
      </c>
      <c r="C183" s="140"/>
      <c r="D183" s="140"/>
      <c r="E183" s="140"/>
      <c r="F183" s="140"/>
      <c r="G183" s="140"/>
      <c r="H183" s="140"/>
      <c r="I183" s="140"/>
    </row>
    <row r="184" spans="2:9" x14ac:dyDescent="0.35">
      <c r="B184" s="141" t="str">
        <f>IF(I74=0,"ALERTA: Não tem qualquer valor de gastos variaveis imputados!","")</f>
        <v>ALERTA: Não tem qualquer valor de gastos variaveis imputados!</v>
      </c>
      <c r="C184" s="141"/>
      <c r="D184" s="141"/>
      <c r="E184" s="141"/>
      <c r="F184" s="141"/>
      <c r="G184" s="141"/>
      <c r="H184" s="141"/>
      <c r="I184" s="141"/>
    </row>
    <row r="185" spans="2:9" x14ac:dyDescent="0.35">
      <c r="B185" s="140" t="str">
        <f>IF(AND(E115&gt;0,I14=0),"Curso não Modular com horas no quadro 8, coluna D","")</f>
        <v/>
      </c>
      <c r="C185" s="140"/>
      <c r="D185" s="140"/>
      <c r="E185" s="140"/>
      <c r="F185" s="140"/>
      <c r="G185" s="140"/>
      <c r="H185" s="140"/>
      <c r="I185" s="140"/>
    </row>
    <row r="186" spans="2:9" x14ac:dyDescent="0.35">
      <c r="B186" s="140"/>
      <c r="C186" s="140"/>
      <c r="D186" s="140"/>
      <c r="E186" s="140"/>
      <c r="F186" s="140"/>
      <c r="G186" s="140"/>
      <c r="H186" s="140"/>
      <c r="I186" s="140"/>
    </row>
    <row r="187" spans="2:9" x14ac:dyDescent="0.35">
      <c r="B187" s="140"/>
      <c r="C187" s="140"/>
      <c r="D187" s="140"/>
      <c r="E187" s="140"/>
      <c r="F187" s="140"/>
      <c r="G187" s="140"/>
      <c r="H187" s="140"/>
      <c r="I187" s="140"/>
    </row>
    <row r="188" spans="2:9" x14ac:dyDescent="0.35">
      <c r="B188" s="140"/>
      <c r="C188" s="140"/>
      <c r="D188" s="140"/>
      <c r="E188" s="140"/>
      <c r="F188" s="140"/>
      <c r="G188" s="140"/>
      <c r="H188" s="140"/>
      <c r="I188" s="140"/>
    </row>
    <row r="189" spans="2:9" x14ac:dyDescent="0.35">
      <c r="B189" s="140"/>
      <c r="C189" s="140"/>
      <c r="D189" s="140"/>
      <c r="E189" s="140"/>
      <c r="F189" s="140"/>
      <c r="G189" s="140"/>
      <c r="H189" s="140"/>
      <c r="I189" s="140"/>
    </row>
    <row r="190" spans="2:9" x14ac:dyDescent="0.35">
      <c r="B190" s="140"/>
      <c r="C190" s="140"/>
      <c r="D190" s="140"/>
      <c r="E190" s="140"/>
      <c r="F190" s="140"/>
      <c r="G190" s="140"/>
      <c r="H190" s="140"/>
      <c r="I190" s="140"/>
    </row>
  </sheetData>
  <mergeCells count="38">
    <mergeCell ref="F17:H17"/>
    <mergeCell ref="G18:I18"/>
    <mergeCell ref="B179:I179"/>
    <mergeCell ref="B180:I180"/>
    <mergeCell ref="C7:I7"/>
    <mergeCell ref="C22:I22"/>
    <mergeCell ref="F15:H15"/>
    <mergeCell ref="F16:H16"/>
    <mergeCell ref="C10:I10"/>
    <mergeCell ref="C11:I11"/>
    <mergeCell ref="C12:I12"/>
    <mergeCell ref="C16:D16"/>
    <mergeCell ref="C21:I21"/>
    <mergeCell ref="B149:D149"/>
    <mergeCell ref="B176:I176"/>
    <mergeCell ref="B177:I177"/>
    <mergeCell ref="B1:I1"/>
    <mergeCell ref="B3:I3"/>
    <mergeCell ref="C4:I4"/>
    <mergeCell ref="F5:G5"/>
    <mergeCell ref="C6:I6"/>
    <mergeCell ref="B178:I178"/>
    <mergeCell ref="C23:I23"/>
    <mergeCell ref="B51:H51"/>
    <mergeCell ref="B188:I188"/>
    <mergeCell ref="B74:H74"/>
    <mergeCell ref="B181:I181"/>
    <mergeCell ref="B173:I173"/>
    <mergeCell ref="B78:H78"/>
    <mergeCell ref="B83:H83"/>
    <mergeCell ref="B189:I189"/>
    <mergeCell ref="B190:I190"/>
    <mergeCell ref="B182:I182"/>
    <mergeCell ref="B183:I183"/>
    <mergeCell ref="B184:I184"/>
    <mergeCell ref="B185:I185"/>
    <mergeCell ref="B186:I186"/>
    <mergeCell ref="B187:I187"/>
  </mergeCells>
  <phoneticPr fontId="22" type="noConversion"/>
  <conditionalFormatting sqref="C48:E49">
    <cfRule type="cellIs" dxfId="5" priority="6" operator="lessThan">
      <formula>0</formula>
    </cfRule>
  </conditionalFormatting>
  <conditionalFormatting sqref="C75:E75">
    <cfRule type="cellIs" dxfId="4" priority="3" operator="lessThan">
      <formula>0</formula>
    </cfRule>
  </conditionalFormatting>
  <conditionalFormatting sqref="C84:E84">
    <cfRule type="cellIs" dxfId="3" priority="1" operator="lessThan">
      <formula>0</formula>
    </cfRule>
  </conditionalFormatting>
  <conditionalFormatting sqref="H48:H49">
    <cfRule type="cellIs" dxfId="2" priority="7" operator="lessThan">
      <formula>0</formula>
    </cfRule>
  </conditionalFormatting>
  <conditionalFormatting sqref="H75">
    <cfRule type="cellIs" dxfId="1" priority="4" operator="lessThan">
      <formula>0</formula>
    </cfRule>
  </conditionalFormatting>
  <conditionalFormatting sqref="H84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&amp;R
&amp;8&amp;P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2C04E15-45D4-4FF2-9CA0-E435CED73E75}">
          <x14:formula1>
            <xm:f>Critérios!$Y$2:$Y$4</xm:f>
          </x14:formula1>
          <xm:sqref>C22:I22</xm:sqref>
        </x14:dataValidation>
        <x14:dataValidation type="list" allowBlank="1" showInputMessage="1" showErrorMessage="1" xr:uid="{2CC80AF7-B636-46DD-960C-22B3961B42A4}">
          <x14:formula1>
            <xm:f>Critérios!$W$2:$W$6</xm:f>
          </x14:formula1>
          <xm:sqref>C6:I6</xm:sqref>
        </x14:dataValidation>
        <x14:dataValidation type="list" allowBlank="1" showInputMessage="1" showErrorMessage="1" xr:uid="{88D80C8D-AC49-4B37-9CF4-9B011EBDBA2C}">
          <x14:formula1>
            <xm:f>Critérios!$S$3:$S$6</xm:f>
          </x14:formula1>
          <xm:sqref>C16:C17</xm:sqref>
        </x14:dataValidation>
        <x14:dataValidation type="list" allowBlank="1" showInputMessage="1" showErrorMessage="1" xr:uid="{BCB1AAB3-7928-4715-94ED-AFEEED86921D}">
          <x14:formula1>
            <xm:f>Critérios!$U$3:$U$13</xm:f>
          </x14:formula1>
          <xm:sqref>C7:I7</xm:sqref>
        </x14:dataValidation>
        <x14:dataValidation type="list" allowBlank="1" showInputMessage="1" showErrorMessage="1" xr:uid="{D7FC4EF1-9A53-4B22-A965-01AE9DB8E6DA}">
          <x14:formula1>
            <xm:f>Critérios!$A$2:$A$14</xm:f>
          </x14:formula1>
          <xm:sqref>I14</xm:sqref>
        </x14:dataValidation>
        <x14:dataValidation type="list" allowBlank="1" showInputMessage="1" showErrorMessage="1" xr:uid="{D6C59581-3E3F-4203-8900-5B9BF074F943}">
          <x14:formula1>
            <xm:f>Critérios!$AF$2:$AF$4</xm:f>
          </x14:formula1>
          <xm:sqref>G18 F15:F17</xm:sqref>
        </x14:dataValidation>
        <x14:dataValidation type="list" allowBlank="1" showInputMessage="1" showErrorMessage="1" xr:uid="{3A0DC866-62F2-41FF-A3A1-7D0AC6FC1299}">
          <x14:formula1>
            <xm:f>Critérios!$Z$1:$AA$1</xm:f>
          </x14:formula1>
          <xm:sqref>F37:F46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50a8e03-e558-47f1-af0e-7888e6a99688">
      <Terms xmlns="http://schemas.microsoft.com/office/infopath/2007/PartnerControls"/>
    </lcf76f155ced4ddcb4097134ff3c332f>
    <TaxCatchAll xmlns="09aab3b0-2197-4bfc-994c-de7489cfaf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E9B804338BF542981908771A46332D" ma:contentTypeVersion="14" ma:contentTypeDescription="Criar um novo documento." ma:contentTypeScope="" ma:versionID="94f565abe18e3f081b691d5514593910">
  <xsd:schema xmlns:xsd="http://www.w3.org/2001/XMLSchema" xmlns:xs="http://www.w3.org/2001/XMLSchema" xmlns:p="http://schemas.microsoft.com/office/2006/metadata/properties" xmlns:ns1="http://schemas.microsoft.com/sharepoint/v3" xmlns:ns2="b50a8e03-e558-47f1-af0e-7888e6a99688" xmlns:ns3="09aab3b0-2197-4bfc-994c-de7489cfaf23" targetNamespace="http://schemas.microsoft.com/office/2006/metadata/properties" ma:root="true" ma:fieldsID="d105ba99c1d265b9f5a11780c9f91e25" ns1:_="" ns2:_="" ns3:_="">
    <xsd:import namespace="http://schemas.microsoft.com/sharepoint/v3"/>
    <xsd:import namespace="b50a8e03-e558-47f1-af0e-7888e6a99688"/>
    <xsd:import namespace="09aab3b0-2197-4bfc-994c-de7489cfa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8e03-e558-47f1-af0e-7888e6a99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c3a666fd-dd3b-4cce-96ec-2ee377191f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ab3b0-2197-4bfc-994c-de7489cfa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d20d3d6-d670-4217-a1fd-5235d749ef1f}" ma:internalName="TaxCatchAll" ma:showField="CatchAllData" ma:web="09aab3b0-2197-4bfc-994c-de7489cfa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353164-45C8-44C2-B8B9-D6E043433D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50a8e03-e558-47f1-af0e-7888e6a99688"/>
    <ds:schemaRef ds:uri="09aab3b0-2197-4bfc-994c-de7489cfaf23"/>
  </ds:schemaRefs>
</ds:datastoreItem>
</file>

<file path=customXml/itemProps2.xml><?xml version="1.0" encoding="utf-8"?>
<ds:datastoreItem xmlns:ds="http://schemas.openxmlformats.org/officeDocument/2006/customXml" ds:itemID="{AB4F1782-9D19-43F8-A731-E2CBFDA6E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0a8e03-e558-47f1-af0e-7888e6a99688"/>
    <ds:schemaRef ds:uri="09aab3b0-2197-4bfc-994c-de7489cfa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89F0D1-7DA4-484E-98FD-216622C18E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Critérios</vt:lpstr>
      <vt:lpstr>Preço</vt:lpstr>
      <vt:lpstr>M</vt:lpstr>
      <vt:lpstr>MM</vt:lpstr>
      <vt:lpstr>Preço!Títulos_de_Impressão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Neto</dc:creator>
  <cp:keywords/>
  <dc:description/>
  <cp:lastModifiedBy>Paulo Neto</cp:lastModifiedBy>
  <cp:revision/>
  <dcterms:created xsi:type="dcterms:W3CDTF">2022-04-21T15:10:47Z</dcterms:created>
  <dcterms:modified xsi:type="dcterms:W3CDTF">2023-07-15T10:06:25Z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0x0101001DE9B804338BF542981908771A46332D</vt:lpwstr>
  </property>
  <property fmtid="{D5CDD505-2E9C-101B-9397-08002B2CF9AE}" pid="3" name="MediaServiceImageTags">
    <vt:lpwstr/>
  </property>
</Properties>
</file>